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hanh Uyen\PHONG_KE_HOACH_TAI_CHINH_2020\CHU_TRUONG_LAP_DINH_MUC_KTKT_DON_GIA\DMKTKT_DON_GIA_DAU_GIA\PHAT_HANH\DON_GIA_DAU_GIA (1)\LAY_Y_KIEN\"/>
    </mc:Choice>
  </mc:AlternateContent>
  <bookViews>
    <workbookView xWindow="0" yWindow="405" windowWidth="19440" windowHeight="7650" firstSheet="10" activeTab="10"/>
  </bookViews>
  <sheets>
    <sheet name="TH_K_thanh" sheetId="29" state="hidden" r:id="rId1"/>
    <sheet name="PA" sheetId="12" state="hidden" r:id="rId2"/>
    <sheet name="TCĐG" sheetId="14" state="hidden" r:id="rId3"/>
    <sheet name="DG_k_thanh" sheetId="16" state="hidden" r:id="rId4"/>
    <sheet name="Sheet1" sheetId="13" state="hidden" r:id="rId5"/>
    <sheet name="Don_gia_PA" sheetId="21" state="hidden" r:id="rId6"/>
    <sheet name="Don_gia_thanh" sheetId="15" state="hidden" r:id="rId7"/>
    <sheet name="SGV" sheetId="43" state="hidden" r:id="rId8"/>
    <sheet name="SGV_2" sheetId="44" state="veryHidden" r:id="rId9"/>
    <sheet name="NC_VT" sheetId="36" state="hidden" r:id="rId10"/>
    <sheet name="TH" sheetId="37" r:id="rId11"/>
    <sheet name="TH_thanh" sheetId="19" state="hidden" r:id="rId12"/>
    <sheet name="Thu" sheetId="20" state="hidden" r:id="rId13"/>
    <sheet name="Sheet4" sheetId="18" state="hidden" r:id="rId14"/>
    <sheet name="VD" sheetId="22" state="hidden" r:id="rId15"/>
    <sheet name="TH_DG_K_thanh" sheetId="30" state="hidden" r:id="rId16"/>
    <sheet name="Sheet5" sheetId="31" state="hidden" r:id="rId17"/>
    <sheet name="CP" sheetId="42" r:id="rId18"/>
    <sheet name="Luong" sheetId="17" r:id="rId19"/>
    <sheet name="1" sheetId="38" state="hidden" r:id="rId20"/>
    <sheet name="2" sheetId="39" state="hidden" r:id="rId21"/>
    <sheet name="3" sheetId="40" state="hidden" r:id="rId22"/>
    <sheet name="4" sheetId="41" state="hidden" r:id="rId23"/>
    <sheet name="Sheet6" sheetId="32" state="hidden" r:id="rId24"/>
    <sheet name="Sheet7" sheetId="33" state="hidden" r:id="rId25"/>
    <sheet name="Sheet8" sheetId="34" state="hidden" r:id="rId26"/>
    <sheet name="Sheet9" sheetId="35" state="hidden" r:id="rId27"/>
  </sheets>
  <externalReferences>
    <externalReference r:id="rId28"/>
  </externalReferences>
  <definedNames>
    <definedName name="_xlnm.Print_Titles" localSheetId="19">'1'!$4:$4</definedName>
    <definedName name="_xlnm.Print_Titles" localSheetId="20">'2'!$4:$4</definedName>
    <definedName name="_xlnm.Print_Titles" localSheetId="21">'3'!$4:$4</definedName>
    <definedName name="_xlnm.Print_Titles" localSheetId="22">'4'!$4:$4</definedName>
    <definedName name="_xlnm.Print_Titles" localSheetId="17">CP!$3:$4</definedName>
    <definedName name="_xlnm.Print_Titles" localSheetId="9">NC_VT!$3:$4</definedName>
    <definedName name="_xlnm.Print_Titles" localSheetId="23">Sheet6!$4:$4</definedName>
    <definedName name="_xlnm.Print_Titles" localSheetId="24">Sheet7!$4:$4</definedName>
    <definedName name="_xlnm.Print_Titles" localSheetId="25">Sheet8!$4:$4</definedName>
    <definedName name="_xlnm.Print_Titles" localSheetId="26">Sheet9!$4:$4</definedName>
    <definedName name="_xlnm.Print_Titles" localSheetId="10">TH!$5:$6</definedName>
    <definedName name="_xlnm.Print_Titles" localSheetId="15">TH_DG_K_thanh!$4:$4</definedName>
    <definedName name="_xlnm.Print_Titles" localSheetId="11">TH_thanh!$4:$4</definedName>
    <definedName name="_xlnm.Print_Titles" localSheetId="14">VD!$4:$4</definedName>
  </definedNames>
  <calcPr calcId="152511"/>
</workbook>
</file>

<file path=xl/calcChain.xml><?xml version="1.0" encoding="utf-8"?>
<calcChain xmlns="http://schemas.openxmlformats.org/spreadsheetml/2006/main">
  <c r="B45" i="35" l="1"/>
  <c r="B44" i="35"/>
  <c r="B43" i="35"/>
  <c r="B42" i="35"/>
  <c r="B41" i="35"/>
  <c r="B31" i="35"/>
  <c r="B30" i="35"/>
  <c r="B29" i="35"/>
  <c r="B28" i="35"/>
  <c r="B27" i="35"/>
  <c r="B26" i="35"/>
  <c r="B25" i="35"/>
  <c r="B24" i="35"/>
  <c r="B23" i="35"/>
  <c r="B22" i="35"/>
  <c r="B21" i="35"/>
  <c r="B20" i="35"/>
  <c r="B19" i="35"/>
  <c r="B45" i="34"/>
  <c r="B44" i="34"/>
  <c r="B43" i="34"/>
  <c r="B42" i="34"/>
  <c r="B41" i="34"/>
  <c r="B31" i="34"/>
  <c r="B30" i="34"/>
  <c r="B29" i="34"/>
  <c r="B28" i="34"/>
  <c r="B27" i="34"/>
  <c r="B26" i="34"/>
  <c r="B25" i="34"/>
  <c r="B24" i="34"/>
  <c r="B23" i="34"/>
  <c r="B22" i="34"/>
  <c r="B21" i="34"/>
  <c r="B20" i="34"/>
  <c r="B19" i="34"/>
  <c r="B45" i="33"/>
  <c r="B44" i="33"/>
  <c r="B43" i="33"/>
  <c r="B42" i="33"/>
  <c r="B41" i="33"/>
  <c r="B31" i="33"/>
  <c r="B30" i="33"/>
  <c r="B29" i="33"/>
  <c r="B28" i="33"/>
  <c r="B27" i="33"/>
  <c r="B26" i="33"/>
  <c r="B25" i="33"/>
  <c r="B24" i="33"/>
  <c r="B23" i="33"/>
  <c r="B22" i="33"/>
  <c r="B21" i="33"/>
  <c r="B20" i="33"/>
  <c r="B19" i="33"/>
  <c r="B45" i="32"/>
  <c r="B44" i="32"/>
  <c r="B43" i="32"/>
  <c r="B42" i="32"/>
  <c r="B41" i="32"/>
  <c r="B31" i="32"/>
  <c r="B30" i="32"/>
  <c r="B29" i="32"/>
  <c r="B28" i="32"/>
  <c r="B27" i="32"/>
  <c r="B26" i="32"/>
  <c r="B25" i="32"/>
  <c r="B24" i="32"/>
  <c r="B23" i="32"/>
  <c r="B22" i="32"/>
  <c r="B21" i="32"/>
  <c r="B20" i="32"/>
  <c r="B19" i="32"/>
  <c r="J85" i="41"/>
  <c r="G85" i="41"/>
  <c r="H85" i="41" s="1"/>
  <c r="H84" i="41"/>
  <c r="G84" i="41"/>
  <c r="J83" i="41"/>
  <c r="G83" i="41"/>
  <c r="H83" i="41" s="1"/>
  <c r="H82" i="41"/>
  <c r="G82" i="41"/>
  <c r="J81" i="41"/>
  <c r="G81" i="41"/>
  <c r="H81" i="41" s="1"/>
  <c r="H80" i="41"/>
  <c r="G80" i="41"/>
  <c r="J79" i="41"/>
  <c r="G79" i="41"/>
  <c r="H79" i="41" s="1"/>
  <c r="H78" i="41"/>
  <c r="G78" i="41"/>
  <c r="J77" i="41"/>
  <c r="G77" i="41"/>
  <c r="H77" i="41" s="1"/>
  <c r="H76" i="41"/>
  <c r="G76" i="41"/>
  <c r="J74" i="41"/>
  <c r="G74" i="41"/>
  <c r="H74" i="41" s="1"/>
  <c r="H73" i="41"/>
  <c r="G73" i="41"/>
  <c r="J71" i="41"/>
  <c r="G71" i="41"/>
  <c r="H71" i="41" s="1"/>
  <c r="H70" i="41"/>
  <c r="G70" i="41"/>
  <c r="J69" i="41"/>
  <c r="G69" i="41"/>
  <c r="H69" i="41" s="1"/>
  <c r="H68" i="41"/>
  <c r="G68" i="41"/>
  <c r="J66" i="41"/>
  <c r="G66" i="41"/>
  <c r="H66" i="41" s="1"/>
  <c r="H65" i="41"/>
  <c r="G65" i="41"/>
  <c r="J64" i="41"/>
  <c r="G64" i="41"/>
  <c r="H64" i="41" s="1"/>
  <c r="H63" i="41"/>
  <c r="G63" i="41"/>
  <c r="B51" i="41"/>
  <c r="H85" i="40"/>
  <c r="G85" i="40"/>
  <c r="J85" i="40" s="1"/>
  <c r="G84" i="40"/>
  <c r="H84" i="40" s="1"/>
  <c r="H83" i="40"/>
  <c r="G83" i="40"/>
  <c r="J83" i="40" s="1"/>
  <c r="G82" i="40"/>
  <c r="H82" i="40" s="1"/>
  <c r="H81" i="40"/>
  <c r="G81" i="40"/>
  <c r="J81" i="40" s="1"/>
  <c r="G80" i="40"/>
  <c r="H80" i="40" s="1"/>
  <c r="H79" i="40"/>
  <c r="G79" i="40"/>
  <c r="J79" i="40" s="1"/>
  <c r="G78" i="40"/>
  <c r="H78" i="40" s="1"/>
  <c r="H77" i="40"/>
  <c r="G77" i="40"/>
  <c r="J77" i="40" s="1"/>
  <c r="G76" i="40"/>
  <c r="H76" i="40" s="1"/>
  <c r="H74" i="40"/>
  <c r="G74" i="40"/>
  <c r="J74" i="40" s="1"/>
  <c r="G73" i="40"/>
  <c r="H73" i="40" s="1"/>
  <c r="H71" i="40"/>
  <c r="G71" i="40"/>
  <c r="J71" i="40" s="1"/>
  <c r="G70" i="40"/>
  <c r="H70" i="40" s="1"/>
  <c r="H69" i="40"/>
  <c r="G69" i="40"/>
  <c r="J69" i="40" s="1"/>
  <c r="G68" i="40"/>
  <c r="H68" i="40" s="1"/>
  <c r="H66" i="40"/>
  <c r="G66" i="40"/>
  <c r="J66" i="40" s="1"/>
  <c r="G65" i="40"/>
  <c r="H65" i="40" s="1"/>
  <c r="H64" i="40"/>
  <c r="G64" i="40"/>
  <c r="J64" i="40" s="1"/>
  <c r="G63" i="40"/>
  <c r="H63" i="40" s="1"/>
  <c r="B51" i="40"/>
  <c r="H85" i="39"/>
  <c r="G85" i="39"/>
  <c r="J85" i="39" s="1"/>
  <c r="G84" i="39"/>
  <c r="H84" i="39" s="1"/>
  <c r="H83" i="39"/>
  <c r="G83" i="39"/>
  <c r="J83" i="39" s="1"/>
  <c r="G82" i="39"/>
  <c r="H82" i="39" s="1"/>
  <c r="H81" i="39"/>
  <c r="G81" i="39"/>
  <c r="J81" i="39" s="1"/>
  <c r="G80" i="39"/>
  <c r="H80" i="39" s="1"/>
  <c r="H79" i="39"/>
  <c r="G79" i="39"/>
  <c r="J79" i="39" s="1"/>
  <c r="G78" i="39"/>
  <c r="H78" i="39" s="1"/>
  <c r="H77" i="39"/>
  <c r="G77" i="39"/>
  <c r="J77" i="39" s="1"/>
  <c r="G76" i="39"/>
  <c r="H76" i="39" s="1"/>
  <c r="H74" i="39"/>
  <c r="G74" i="39"/>
  <c r="J74" i="39" s="1"/>
  <c r="G73" i="39"/>
  <c r="H73" i="39" s="1"/>
  <c r="H71" i="39"/>
  <c r="G71" i="39"/>
  <c r="J71" i="39" s="1"/>
  <c r="G70" i="39"/>
  <c r="H70" i="39" s="1"/>
  <c r="H69" i="39"/>
  <c r="G69" i="39"/>
  <c r="J69" i="39" s="1"/>
  <c r="G68" i="39"/>
  <c r="H68" i="39" s="1"/>
  <c r="H66" i="39"/>
  <c r="G66" i="39"/>
  <c r="J66" i="39" s="1"/>
  <c r="G65" i="39"/>
  <c r="H65" i="39" s="1"/>
  <c r="H64" i="39"/>
  <c r="G64" i="39"/>
  <c r="J64" i="39" s="1"/>
  <c r="G63" i="39"/>
  <c r="H63" i="39" s="1"/>
  <c r="B51" i="39"/>
  <c r="J85" i="38"/>
  <c r="G85" i="38"/>
  <c r="H85" i="38" s="1"/>
  <c r="H84" i="38"/>
  <c r="G84" i="38"/>
  <c r="J83" i="38"/>
  <c r="G83" i="38"/>
  <c r="H83" i="38" s="1"/>
  <c r="H82" i="38"/>
  <c r="G82" i="38"/>
  <c r="J81" i="38"/>
  <c r="G81" i="38"/>
  <c r="H81" i="38" s="1"/>
  <c r="H80" i="38"/>
  <c r="G80" i="38"/>
  <c r="J79" i="38"/>
  <c r="G79" i="38"/>
  <c r="H79" i="38" s="1"/>
  <c r="H78" i="38"/>
  <c r="G78" i="38"/>
  <c r="J77" i="38"/>
  <c r="G77" i="38"/>
  <c r="H77" i="38" s="1"/>
  <c r="H76" i="38"/>
  <c r="G76" i="38"/>
  <c r="J74" i="38"/>
  <c r="G74" i="38"/>
  <c r="H74" i="38" s="1"/>
  <c r="H73" i="38"/>
  <c r="G73" i="38"/>
  <c r="J71" i="38"/>
  <c r="G71" i="38"/>
  <c r="H71" i="38" s="1"/>
  <c r="H70" i="38"/>
  <c r="G70" i="38"/>
  <c r="J69" i="38"/>
  <c r="G69" i="38"/>
  <c r="H69" i="38" s="1"/>
  <c r="H68" i="38"/>
  <c r="G68" i="38"/>
  <c r="J66" i="38"/>
  <c r="G66" i="38"/>
  <c r="H66" i="38" s="1"/>
  <c r="H65" i="38"/>
  <c r="G65" i="38"/>
  <c r="J64" i="38"/>
  <c r="G64" i="38"/>
  <c r="H64" i="38" s="1"/>
  <c r="H63" i="38"/>
  <c r="G63" i="38"/>
  <c r="B51" i="38"/>
  <c r="H186" i="42"/>
  <c r="H185" i="42"/>
  <c r="H184" i="42" s="1"/>
  <c r="D70" i="37" s="1"/>
  <c r="H182" i="42"/>
  <c r="F66" i="37" s="1"/>
  <c r="H181" i="42"/>
  <c r="H179" i="42"/>
  <c r="H178" i="42"/>
  <c r="E68" i="37" s="1"/>
  <c r="H177" i="42"/>
  <c r="H176" i="42"/>
  <c r="E66" i="37" s="1"/>
  <c r="H175" i="42"/>
  <c r="H174" i="42"/>
  <c r="E64" i="37" s="1"/>
  <c r="H173" i="42"/>
  <c r="H172" i="42"/>
  <c r="H169" i="42"/>
  <c r="H168" i="42"/>
  <c r="H167" i="42"/>
  <c r="H164" i="42"/>
  <c r="H163" i="42"/>
  <c r="H162" i="42"/>
  <c r="H159" i="42"/>
  <c r="H158" i="42"/>
  <c r="H157" i="42"/>
  <c r="H154" i="42"/>
  <c r="H153" i="42"/>
  <c r="H152" i="42" s="1"/>
  <c r="D57" i="37" s="1"/>
  <c r="H150" i="42"/>
  <c r="H149" i="42"/>
  <c r="H148" i="42"/>
  <c r="H145" i="42"/>
  <c r="H144" i="42"/>
  <c r="H143" i="42"/>
  <c r="H139" i="42"/>
  <c r="H138" i="42"/>
  <c r="H137" i="42"/>
  <c r="H134" i="42"/>
  <c r="H133" i="42"/>
  <c r="H132" i="42" s="1"/>
  <c r="D52" i="37" s="1"/>
  <c r="H130" i="42"/>
  <c r="H129" i="42"/>
  <c r="H126" i="42"/>
  <c r="H125" i="42"/>
  <c r="H124" i="42"/>
  <c r="H119" i="42"/>
  <c r="H118" i="42"/>
  <c r="H117" i="42" s="1"/>
  <c r="D47" i="37" s="1"/>
  <c r="H115" i="42"/>
  <c r="H114" i="42"/>
  <c r="H113" i="42" s="1"/>
  <c r="D46" i="37" s="1"/>
  <c r="H111" i="42"/>
  <c r="H110" i="42"/>
  <c r="H109" i="42" s="1"/>
  <c r="D45" i="37" s="1"/>
  <c r="H107" i="42"/>
  <c r="H106" i="42"/>
  <c r="H104" i="42"/>
  <c r="H103" i="42"/>
  <c r="H102" i="42"/>
  <c r="H101" i="42"/>
  <c r="H100" i="42"/>
  <c r="H99" i="42"/>
  <c r="H98" i="42"/>
  <c r="H97" i="42"/>
  <c r="H94" i="42"/>
  <c r="H93" i="42"/>
  <c r="H92" i="42"/>
  <c r="H89" i="42"/>
  <c r="H88" i="42"/>
  <c r="H87" i="42"/>
  <c r="H86" i="42" s="1"/>
  <c r="D34" i="37" s="1"/>
  <c r="H84" i="42"/>
  <c r="H83" i="42"/>
  <c r="H82" i="42"/>
  <c r="H79" i="42"/>
  <c r="H78" i="42"/>
  <c r="H75" i="42"/>
  <c r="H74" i="42"/>
  <c r="H73" i="42"/>
  <c r="H72" i="42"/>
  <c r="D31" i="37" s="1"/>
  <c r="H70" i="42"/>
  <c r="H69" i="42"/>
  <c r="H68" i="42"/>
  <c r="H64" i="42"/>
  <c r="H63" i="42"/>
  <c r="H62" i="42"/>
  <c r="H59" i="42"/>
  <c r="H58" i="42"/>
  <c r="H57" i="42" s="1"/>
  <c r="D27" i="37" s="1"/>
  <c r="H55" i="42"/>
  <c r="H53" i="42" s="1"/>
  <c r="D26" i="37" s="1"/>
  <c r="H54" i="42"/>
  <c r="H51" i="42"/>
  <c r="H50" i="42"/>
  <c r="H49" i="42"/>
  <c r="H43" i="42"/>
  <c r="H42" i="42"/>
  <c r="H41" i="42" s="1"/>
  <c r="D21" i="37" s="1"/>
  <c r="H39" i="42"/>
  <c r="H38" i="42"/>
  <c r="H35" i="42"/>
  <c r="H34" i="42"/>
  <c r="H33" i="42"/>
  <c r="H32" i="42"/>
  <c r="H29" i="42"/>
  <c r="H28" i="42"/>
  <c r="H27" i="42"/>
  <c r="H26" i="42"/>
  <c r="H23" i="42"/>
  <c r="H22" i="42"/>
  <c r="H20" i="42"/>
  <c r="H19" i="42"/>
  <c r="H18" i="42"/>
  <c r="H17" i="42"/>
  <c r="H16" i="42"/>
  <c r="H15" i="42"/>
  <c r="H14" i="42"/>
  <c r="H13" i="42"/>
  <c r="H11" i="42"/>
  <c r="H10" i="42"/>
  <c r="H9" i="42"/>
  <c r="B45" i="31"/>
  <c r="B44" i="31"/>
  <c r="B43" i="31"/>
  <c r="B42" i="31"/>
  <c r="B41" i="31"/>
  <c r="B31" i="31"/>
  <c r="B30" i="31"/>
  <c r="B29" i="31"/>
  <c r="B28" i="31"/>
  <c r="B27" i="31"/>
  <c r="B26" i="31"/>
  <c r="B25" i="31"/>
  <c r="B24" i="31"/>
  <c r="B23" i="31"/>
  <c r="B22" i="31"/>
  <c r="B21" i="31"/>
  <c r="B20" i="31"/>
  <c r="B19" i="31"/>
  <c r="B41" i="30"/>
  <c r="B31" i="30"/>
  <c r="B30" i="30"/>
  <c r="B29" i="30"/>
  <c r="B28" i="30"/>
  <c r="B27" i="30"/>
  <c r="B26" i="30"/>
  <c r="B25" i="30"/>
  <c r="B24" i="30"/>
  <c r="B23" i="30"/>
  <c r="B22" i="30"/>
  <c r="B21" i="30"/>
  <c r="B20" i="30"/>
  <c r="B19" i="30"/>
  <c r="B45" i="22"/>
  <c r="B44" i="22"/>
  <c r="B43" i="22"/>
  <c r="B42" i="22"/>
  <c r="B41" i="22"/>
  <c r="I32" i="22"/>
  <c r="H32" i="22"/>
  <c r="J32" i="22" s="1"/>
  <c r="B32" i="22"/>
  <c r="B31" i="22"/>
  <c r="B30" i="22"/>
  <c r="H29" i="22"/>
  <c r="I29" i="22" s="1"/>
  <c r="B29" i="22"/>
  <c r="B28" i="22"/>
  <c r="B27" i="22"/>
  <c r="B26" i="22"/>
  <c r="B25" i="22"/>
  <c r="H24" i="22"/>
  <c r="I24" i="22" s="1"/>
  <c r="B24" i="22"/>
  <c r="B23" i="22"/>
  <c r="B22" i="22"/>
  <c r="B21" i="22"/>
  <c r="L15" i="18"/>
  <c r="E14" i="18"/>
  <c r="D14" i="18"/>
  <c r="H14" i="18" s="1"/>
  <c r="F13" i="18"/>
  <c r="H13" i="18" s="1"/>
  <c r="F12" i="18"/>
  <c r="H12" i="18" s="1"/>
  <c r="K11" i="18"/>
  <c r="H11" i="18"/>
  <c r="F11" i="18"/>
  <c r="K10" i="18"/>
  <c r="K14" i="18" s="1"/>
  <c r="F10" i="18"/>
  <c r="H10" i="18" s="1"/>
  <c r="H9" i="18"/>
  <c r="F9" i="18"/>
  <c r="F8" i="18"/>
  <c r="H8" i="18" s="1"/>
  <c r="H7" i="18"/>
  <c r="F7" i="18"/>
  <c r="E5" i="18"/>
  <c r="D5" i="18"/>
  <c r="H5" i="18" s="1"/>
  <c r="L31" i="20"/>
  <c r="B29" i="20"/>
  <c r="B28" i="20"/>
  <c r="B27" i="20"/>
  <c r="B26" i="20"/>
  <c r="B25" i="20"/>
  <c r="I16" i="20"/>
  <c r="H16" i="20"/>
  <c r="J16" i="20" s="1"/>
  <c r="B16" i="20"/>
  <c r="B15" i="20"/>
  <c r="B14" i="20"/>
  <c r="H13" i="20"/>
  <c r="B13" i="20"/>
  <c r="B12" i="20"/>
  <c r="K11" i="20"/>
  <c r="K30" i="20" s="1"/>
  <c r="B11" i="20"/>
  <c r="K10" i="20"/>
  <c r="B10" i="20"/>
  <c r="B9" i="20"/>
  <c r="H8" i="20"/>
  <c r="B8" i="20"/>
  <c r="B7" i="20"/>
  <c r="B6" i="20"/>
  <c r="B5" i="20"/>
  <c r="B45" i="19"/>
  <c r="B44" i="19"/>
  <c r="B43" i="19"/>
  <c r="B42" i="19"/>
  <c r="B41" i="19"/>
  <c r="B31" i="19"/>
  <c r="B30" i="19"/>
  <c r="B29" i="19"/>
  <c r="B28" i="19"/>
  <c r="B27" i="19"/>
  <c r="B26" i="19"/>
  <c r="B25" i="19"/>
  <c r="B24" i="19"/>
  <c r="B23" i="19"/>
  <c r="B22" i="19"/>
  <c r="B21" i="19"/>
  <c r="B20" i="19"/>
  <c r="B19" i="19"/>
  <c r="B70" i="37"/>
  <c r="F69" i="37"/>
  <c r="E69" i="37"/>
  <c r="F68" i="37"/>
  <c r="F67" i="37"/>
  <c r="E67" i="37"/>
  <c r="F65" i="37"/>
  <c r="E65" i="37"/>
  <c r="F64" i="37"/>
  <c r="E63" i="37"/>
  <c r="B46" i="37"/>
  <c r="B45" i="37"/>
  <c r="F44" i="37"/>
  <c r="E44" i="37"/>
  <c r="F43" i="37"/>
  <c r="E43" i="37"/>
  <c r="F42" i="37"/>
  <c r="E42" i="37"/>
  <c r="F41" i="37"/>
  <c r="E41" i="37"/>
  <c r="F40" i="37"/>
  <c r="E40" i="37"/>
  <c r="F39" i="37"/>
  <c r="E39" i="37"/>
  <c r="F38" i="37"/>
  <c r="E38" i="37"/>
  <c r="B34" i="37"/>
  <c r="B29" i="37"/>
  <c r="B28" i="37"/>
  <c r="B27" i="37"/>
  <c r="B26" i="37"/>
  <c r="B25" i="37"/>
  <c r="E17" i="37"/>
  <c r="E16" i="37"/>
  <c r="E15" i="37"/>
  <c r="E14" i="37"/>
  <c r="E13" i="37"/>
  <c r="E12" i="37"/>
  <c r="E11" i="37"/>
  <c r="H210" i="36"/>
  <c r="H209" i="36"/>
  <c r="H208" i="36" s="1"/>
  <c r="H206" i="36"/>
  <c r="H205" i="36"/>
  <c r="H203" i="36"/>
  <c r="H202" i="36"/>
  <c r="H201" i="36"/>
  <c r="H200" i="36"/>
  <c r="H199" i="36"/>
  <c r="H198" i="36"/>
  <c r="H197" i="36"/>
  <c r="H196" i="36"/>
  <c r="H195" i="36"/>
  <c r="H192" i="36"/>
  <c r="H191" i="36"/>
  <c r="H190" i="36"/>
  <c r="H189" i="36"/>
  <c r="H187" i="36"/>
  <c r="H186" i="36"/>
  <c r="H185" i="36"/>
  <c r="H184" i="36"/>
  <c r="H181" i="36"/>
  <c r="H180" i="36"/>
  <c r="H179" i="36"/>
  <c r="H178" i="36"/>
  <c r="H176" i="36"/>
  <c r="H175" i="36"/>
  <c r="H174" i="36" s="1"/>
  <c r="H172" i="36"/>
  <c r="H171" i="36"/>
  <c r="H170" i="36"/>
  <c r="H169" i="36" s="1"/>
  <c r="H167" i="36"/>
  <c r="H166" i="36"/>
  <c r="H165" i="36"/>
  <c r="H164" i="36" s="1"/>
  <c r="H161" i="36"/>
  <c r="H160" i="36"/>
  <c r="H159" i="36"/>
  <c r="H158" i="36" s="1"/>
  <c r="H156" i="36"/>
  <c r="H155" i="36"/>
  <c r="H154" i="36"/>
  <c r="H152" i="36"/>
  <c r="H151" i="36"/>
  <c r="H150" i="36" s="1"/>
  <c r="H148" i="36"/>
  <c r="H147" i="36"/>
  <c r="H146" i="36"/>
  <c r="H145" i="36" s="1"/>
  <c r="H141" i="36"/>
  <c r="H140" i="36"/>
  <c r="H138" i="36"/>
  <c r="H137" i="36"/>
  <c r="H136" i="36"/>
  <c r="H135" i="36"/>
  <c r="H134" i="36"/>
  <c r="H133" i="36"/>
  <c r="H132" i="36"/>
  <c r="H131" i="36"/>
  <c r="H130" i="36"/>
  <c r="H126" i="36"/>
  <c r="H125" i="36"/>
  <c r="H124" i="36" s="1"/>
  <c r="H122" i="36"/>
  <c r="H121" i="36"/>
  <c r="H120" i="36"/>
  <c r="H118" i="36"/>
  <c r="H117" i="36"/>
  <c r="H116" i="36" s="1"/>
  <c r="H114" i="36"/>
  <c r="H113" i="36"/>
  <c r="H112" i="36"/>
  <c r="H110" i="36"/>
  <c r="H109" i="36"/>
  <c r="H107" i="36"/>
  <c r="H106" i="36"/>
  <c r="H105" i="36"/>
  <c r="H104" i="36"/>
  <c r="H103" i="36"/>
  <c r="H102" i="36"/>
  <c r="H101" i="36"/>
  <c r="H100" i="36"/>
  <c r="H99" i="36"/>
  <c r="H96" i="36"/>
  <c r="H95" i="36"/>
  <c r="H94" i="36"/>
  <c r="H93" i="36" s="1"/>
  <c r="H91" i="36"/>
  <c r="H90" i="36"/>
  <c r="H89" i="36"/>
  <c r="H88" i="36" s="1"/>
  <c r="H85" i="36"/>
  <c r="H84" i="36"/>
  <c r="H83" i="36"/>
  <c r="H82" i="36" s="1"/>
  <c r="H80" i="36"/>
  <c r="H79" i="36"/>
  <c r="H78" i="36"/>
  <c r="H76" i="36"/>
  <c r="H75" i="36"/>
  <c r="H74" i="36"/>
  <c r="H73" i="36"/>
  <c r="H71" i="36"/>
  <c r="H70" i="36"/>
  <c r="H69" i="36"/>
  <c r="H68" i="36"/>
  <c r="H65" i="36"/>
  <c r="H64" i="36"/>
  <c r="H63" i="36"/>
  <c r="H62" i="36"/>
  <c r="H60" i="36"/>
  <c r="H59" i="36"/>
  <c r="H58" i="36" s="1"/>
  <c r="H56" i="36"/>
  <c r="H55" i="36"/>
  <c r="H54" i="36"/>
  <c r="H52" i="36"/>
  <c r="H51" i="36"/>
  <c r="H50" i="36"/>
  <c r="H49" i="36"/>
  <c r="H44" i="36"/>
  <c r="H43" i="36"/>
  <c r="H42" i="36" s="1"/>
  <c r="H40" i="36"/>
  <c r="H39" i="36"/>
  <c r="H38" i="36" s="1"/>
  <c r="H36" i="36"/>
  <c r="H35" i="36"/>
  <c r="H34" i="36"/>
  <c r="H33" i="36"/>
  <c r="H32" i="36"/>
  <c r="H30" i="36"/>
  <c r="H29" i="36"/>
  <c r="H28" i="36"/>
  <c r="H27" i="36"/>
  <c r="H26" i="36" s="1"/>
  <c r="H24" i="36"/>
  <c r="H23" i="36"/>
  <c r="H21" i="36"/>
  <c r="H20" i="36"/>
  <c r="H19" i="36"/>
  <c r="H18" i="36"/>
  <c r="H17" i="36"/>
  <c r="H16" i="36"/>
  <c r="H15" i="36"/>
  <c r="H14" i="36"/>
  <c r="H13" i="36"/>
  <c r="H11" i="36"/>
  <c r="H10" i="36"/>
  <c r="H9" i="36"/>
  <c r="H8" i="36"/>
  <c r="E16" i="17"/>
  <c r="E15" i="17"/>
  <c r="E14" i="17"/>
  <c r="E13" i="17"/>
  <c r="E12" i="17"/>
  <c r="E11" i="17"/>
  <c r="E10" i="17"/>
  <c r="F9" i="17"/>
  <c r="E9" i="17"/>
  <c r="G9" i="17" s="1"/>
  <c r="H9" i="17" s="1"/>
  <c r="I9" i="17" s="1"/>
  <c r="I8" i="17"/>
  <c r="F8" i="17"/>
  <c r="F13" i="17" s="1"/>
  <c r="G135" i="15"/>
  <c r="G134" i="15"/>
  <c r="G133" i="15"/>
  <c r="G130" i="15"/>
  <c r="G129" i="15"/>
  <c r="G128" i="15" s="1"/>
  <c r="G125" i="15"/>
  <c r="G124" i="15"/>
  <c r="G123" i="15"/>
  <c r="G120" i="15"/>
  <c r="G119" i="15"/>
  <c r="G118" i="15" s="1"/>
  <c r="G115" i="15"/>
  <c r="G114" i="15"/>
  <c r="G112" i="15"/>
  <c r="G111" i="15"/>
  <c r="G110" i="15"/>
  <c r="G109" i="15"/>
  <c r="G108" i="15"/>
  <c r="G107" i="15"/>
  <c r="G106" i="15"/>
  <c r="G105" i="15"/>
  <c r="G104" i="15"/>
  <c r="G100" i="15"/>
  <c r="G99" i="15"/>
  <c r="G98" i="15"/>
  <c r="G97" i="15"/>
  <c r="G92" i="15"/>
  <c r="G91" i="15"/>
  <c r="G90" i="15"/>
  <c r="G89" i="15"/>
  <c r="G86" i="15"/>
  <c r="G85" i="15"/>
  <c r="G84" i="15" s="1"/>
  <c r="G81" i="15"/>
  <c r="G80" i="15"/>
  <c r="G79" i="15"/>
  <c r="G78" i="15" s="1"/>
  <c r="G75" i="15"/>
  <c r="G74" i="15"/>
  <c r="G73" i="15"/>
  <c r="G72" i="15" s="1"/>
  <c r="G67" i="15"/>
  <c r="G66" i="15"/>
  <c r="G65" i="15"/>
  <c r="G64" i="15" s="1"/>
  <c r="G61" i="15"/>
  <c r="G60" i="15"/>
  <c r="G59" i="15"/>
  <c r="G58" i="15" s="1"/>
  <c r="G55" i="15"/>
  <c r="G54" i="15"/>
  <c r="G53" i="15"/>
  <c r="G50" i="15"/>
  <c r="G49" i="15"/>
  <c r="G48" i="15"/>
  <c r="G47" i="15"/>
  <c r="G44" i="15"/>
  <c r="G43" i="15"/>
  <c r="G42" i="15" s="1"/>
  <c r="B40" i="15"/>
  <c r="G39" i="15"/>
  <c r="G38" i="15"/>
  <c r="G37" i="15" s="1"/>
  <c r="B35" i="15"/>
  <c r="G34" i="15"/>
  <c r="G33" i="15"/>
  <c r="G32" i="15"/>
  <c r="G31" i="15"/>
  <c r="G30" i="15" s="1"/>
  <c r="B28" i="15"/>
  <c r="G27" i="15"/>
  <c r="G26" i="15"/>
  <c r="G25" i="15"/>
  <c r="G24" i="15"/>
  <c r="G23" i="15" s="1"/>
  <c r="B21" i="15"/>
  <c r="G20" i="15"/>
  <c r="G19" i="15"/>
  <c r="G17" i="15"/>
  <c r="G16" i="15"/>
  <c r="G15" i="15"/>
  <c r="G14" i="15"/>
  <c r="G13" i="15"/>
  <c r="G12" i="15"/>
  <c r="G11" i="15"/>
  <c r="G10" i="15"/>
  <c r="G9" i="15"/>
  <c r="G7" i="15"/>
  <c r="G6" i="15"/>
  <c r="G5" i="15"/>
  <c r="G4" i="15" s="1"/>
  <c r="B2" i="15"/>
  <c r="G44" i="21"/>
  <c r="G43" i="21"/>
  <c r="G42" i="21" s="1"/>
  <c r="B40" i="21"/>
  <c r="G39" i="21"/>
  <c r="G38" i="21"/>
  <c r="G37" i="21" s="1"/>
  <c r="B35" i="21"/>
  <c r="G34" i="21"/>
  <c r="G33" i="21"/>
  <c r="G32" i="21"/>
  <c r="G31" i="21"/>
  <c r="G30" i="21" s="1"/>
  <c r="B28" i="21"/>
  <c r="G27" i="21"/>
  <c r="G26" i="21"/>
  <c r="G25" i="21"/>
  <c r="G24" i="21"/>
  <c r="G23" i="21" s="1"/>
  <c r="B21" i="21"/>
  <c r="G20" i="21"/>
  <c r="G19" i="21"/>
  <c r="G17" i="21"/>
  <c r="G16" i="21"/>
  <c r="G15" i="21"/>
  <c r="G14" i="21"/>
  <c r="G13" i="21"/>
  <c r="G12" i="21"/>
  <c r="G11" i="21"/>
  <c r="G10" i="21"/>
  <c r="G9" i="21"/>
  <c r="G7" i="21"/>
  <c r="G6" i="21"/>
  <c r="G5" i="21"/>
  <c r="G4" i="21" s="1"/>
  <c r="B2" i="21"/>
  <c r="E15" i="35" l="1"/>
  <c r="E15" i="34"/>
  <c r="E15" i="33"/>
  <c r="E15" i="32"/>
  <c r="E15" i="19"/>
  <c r="E15" i="31"/>
  <c r="E15" i="30"/>
  <c r="E15" i="22"/>
  <c r="E22" i="35"/>
  <c r="E22" i="34"/>
  <c r="E22" i="33"/>
  <c r="E22" i="32"/>
  <c r="E22" i="19"/>
  <c r="E22" i="31"/>
  <c r="E22" i="30"/>
  <c r="E25" i="34"/>
  <c r="E25" i="33"/>
  <c r="E25" i="32"/>
  <c r="E25" i="35"/>
  <c r="E25" i="31"/>
  <c r="E25" i="30"/>
  <c r="E26" i="22"/>
  <c r="E10" i="20"/>
  <c r="E25" i="19"/>
  <c r="E41" i="35"/>
  <c r="E41" i="34"/>
  <c r="E41" i="33"/>
  <c r="E41" i="32"/>
  <c r="E41" i="31"/>
  <c r="E41" i="30"/>
  <c r="E41" i="22"/>
  <c r="E25" i="20"/>
  <c r="E41" i="19"/>
  <c r="D17" i="39"/>
  <c r="D17" i="41"/>
  <c r="D17" i="40"/>
  <c r="D17" i="38"/>
  <c r="E17" i="35"/>
  <c r="E17" i="34"/>
  <c r="E17" i="33"/>
  <c r="E17" i="32"/>
  <c r="E17" i="22"/>
  <c r="E17" i="19"/>
  <c r="E17" i="31"/>
  <c r="E17" i="30"/>
  <c r="E10" i="35"/>
  <c r="E6" i="35"/>
  <c r="E10" i="34"/>
  <c r="E8" i="34"/>
  <c r="E7" i="34"/>
  <c r="E9" i="34"/>
  <c r="E11" i="34" s="1"/>
  <c r="E6" i="34"/>
  <c r="E10" i="33"/>
  <c r="E8" i="33"/>
  <c r="E8" i="35"/>
  <c r="E9" i="33"/>
  <c r="E11" i="33" s="1"/>
  <c r="E6" i="33"/>
  <c r="E9" i="32"/>
  <c r="E11" i="32" s="1"/>
  <c r="E7" i="32"/>
  <c r="E6" i="32"/>
  <c r="E9" i="35"/>
  <c r="E11" i="35" s="1"/>
  <c r="E7" i="33"/>
  <c r="E10" i="32"/>
  <c r="E7" i="35"/>
  <c r="E8" i="32"/>
  <c r="E9" i="31"/>
  <c r="E11" i="31" s="1"/>
  <c r="E7" i="31"/>
  <c r="E6" i="31"/>
  <c r="E10" i="30"/>
  <c r="E8" i="30"/>
  <c r="E14" i="22"/>
  <c r="E13" i="22"/>
  <c r="E12" i="22"/>
  <c r="E11" i="22"/>
  <c r="E10" i="22"/>
  <c r="E9" i="22"/>
  <c r="E8" i="22"/>
  <c r="E10" i="19"/>
  <c r="E8" i="19"/>
  <c r="E10" i="31"/>
  <c r="E8" i="31"/>
  <c r="E9" i="30"/>
  <c r="E11" i="30" s="1"/>
  <c r="E7" i="30"/>
  <c r="E6" i="30"/>
  <c r="E7" i="22"/>
  <c r="E9" i="19"/>
  <c r="E11" i="19" s="1"/>
  <c r="E7" i="19"/>
  <c r="E6" i="19"/>
  <c r="E16" i="35"/>
  <c r="E16" i="34"/>
  <c r="E16" i="33"/>
  <c r="E16" i="32"/>
  <c r="E16" i="19"/>
  <c r="E16" i="31"/>
  <c r="E16" i="30"/>
  <c r="E16" i="22"/>
  <c r="E18" i="35"/>
  <c r="E18" i="34"/>
  <c r="E18" i="33"/>
  <c r="E18" i="32"/>
  <c r="E18" i="22"/>
  <c r="E18" i="19"/>
  <c r="E18" i="31"/>
  <c r="E18" i="30"/>
  <c r="E21" i="35"/>
  <c r="E21" i="34"/>
  <c r="E21" i="33"/>
  <c r="E21" i="32"/>
  <c r="E23" i="22"/>
  <c r="E7" i="20"/>
  <c r="E21" i="19"/>
  <c r="E21" i="31"/>
  <c r="E21" i="30"/>
  <c r="E24" i="35"/>
  <c r="E24" i="34"/>
  <c r="E24" i="32"/>
  <c r="E24" i="33"/>
  <c r="E24" i="31"/>
  <c r="E24" i="30"/>
  <c r="E25" i="22"/>
  <c r="E9" i="20"/>
  <c r="E24" i="19"/>
  <c r="E26" i="35"/>
  <c r="E26" i="34"/>
  <c r="E26" i="32"/>
  <c r="E26" i="33"/>
  <c r="E26" i="31"/>
  <c r="E26" i="30"/>
  <c r="E27" i="22"/>
  <c r="E11" i="20"/>
  <c r="E26" i="19"/>
  <c r="E43" i="35"/>
  <c r="E43" i="34"/>
  <c r="E43" i="33"/>
  <c r="E43" i="32"/>
  <c r="E43" i="31"/>
  <c r="E43" i="22"/>
  <c r="E27" i="20"/>
  <c r="E43" i="19"/>
  <c r="G13" i="17"/>
  <c r="H13" i="17" s="1"/>
  <c r="F14" i="17"/>
  <c r="G14" i="17" s="1"/>
  <c r="H14" i="17" s="1"/>
  <c r="F15" i="17"/>
  <c r="G15" i="17" s="1"/>
  <c r="H15" i="17" s="1"/>
  <c r="F16" i="17"/>
  <c r="G16" i="17" s="1"/>
  <c r="H16" i="17" s="1"/>
  <c r="E9" i="39"/>
  <c r="E9" i="41"/>
  <c r="E9" i="40"/>
  <c r="E9" i="38"/>
  <c r="E11" i="39"/>
  <c r="E11" i="41"/>
  <c r="E11" i="40"/>
  <c r="E11" i="38"/>
  <c r="E13" i="39"/>
  <c r="E13" i="41"/>
  <c r="E13" i="40"/>
  <c r="E13" i="38"/>
  <c r="E15" i="39"/>
  <c r="E15" i="41"/>
  <c r="E15" i="40"/>
  <c r="E15" i="38"/>
  <c r="F16" i="41"/>
  <c r="F15" i="41"/>
  <c r="F14" i="41"/>
  <c r="F16" i="40"/>
  <c r="F15" i="40"/>
  <c r="F14" i="40"/>
  <c r="F16" i="38"/>
  <c r="F15" i="38"/>
  <c r="F14" i="38"/>
  <c r="F15" i="39"/>
  <c r="F17" i="37"/>
  <c r="F16" i="37"/>
  <c r="F15" i="37"/>
  <c r="F16" i="39"/>
  <c r="F14" i="39"/>
  <c r="D24" i="39"/>
  <c r="D24" i="41"/>
  <c r="D24" i="40"/>
  <c r="D24" i="38"/>
  <c r="D27" i="41"/>
  <c r="D27" i="40"/>
  <c r="D27" i="38"/>
  <c r="D27" i="39"/>
  <c r="D30" i="41"/>
  <c r="D30" i="40"/>
  <c r="D30" i="38"/>
  <c r="D30" i="39"/>
  <c r="E38" i="41"/>
  <c r="E38" i="40"/>
  <c r="E38" i="38"/>
  <c r="E38" i="39"/>
  <c r="E40" i="41"/>
  <c r="E40" i="39"/>
  <c r="E40" i="40"/>
  <c r="E40" i="38"/>
  <c r="E42" i="39"/>
  <c r="E42" i="41"/>
  <c r="E42" i="40"/>
  <c r="E42" i="38"/>
  <c r="E44" i="41"/>
  <c r="E44" i="39"/>
  <c r="E44" i="40"/>
  <c r="E44" i="38"/>
  <c r="I10" i="18"/>
  <c r="J10" i="18" s="1"/>
  <c r="I13" i="18"/>
  <c r="J13" i="18" s="1"/>
  <c r="B5" i="35"/>
  <c r="B5" i="34"/>
  <c r="B5" i="32"/>
  <c r="B5" i="33"/>
  <c r="B5" i="31"/>
  <c r="B5" i="30"/>
  <c r="B6" i="22"/>
  <c r="B5" i="19"/>
  <c r="F7" i="35"/>
  <c r="F7" i="34"/>
  <c r="F7" i="33"/>
  <c r="F7" i="32"/>
  <c r="F7" i="30"/>
  <c r="F7" i="19"/>
  <c r="F7" i="31"/>
  <c r="F8" i="22"/>
  <c r="F9" i="35"/>
  <c r="F9" i="34"/>
  <c r="F9" i="33"/>
  <c r="F9" i="32"/>
  <c r="F9" i="30"/>
  <c r="F9" i="19"/>
  <c r="F9" i="31"/>
  <c r="F10" i="22"/>
  <c r="F11" i="35"/>
  <c r="F11" i="34"/>
  <c r="F11" i="33"/>
  <c r="F11" i="32"/>
  <c r="F11" i="19"/>
  <c r="F11" i="31"/>
  <c r="F11" i="30"/>
  <c r="F13" i="22"/>
  <c r="F13" i="35"/>
  <c r="F13" i="34"/>
  <c r="F13" i="33"/>
  <c r="F13" i="32"/>
  <c r="F13" i="19"/>
  <c r="F13" i="31"/>
  <c r="F13" i="30"/>
  <c r="G14" i="35"/>
  <c r="G13" i="35"/>
  <c r="G12" i="35"/>
  <c r="G14" i="34"/>
  <c r="G12" i="34"/>
  <c r="G13" i="34"/>
  <c r="G14" i="33"/>
  <c r="G12" i="33"/>
  <c r="G13" i="32"/>
  <c r="G12" i="32"/>
  <c r="G13" i="33"/>
  <c r="G14" i="32"/>
  <c r="G13" i="31"/>
  <c r="G13" i="30"/>
  <c r="G14" i="19"/>
  <c r="G12" i="19"/>
  <c r="G14" i="31"/>
  <c r="G12" i="31"/>
  <c r="G14" i="30"/>
  <c r="G12" i="30"/>
  <c r="G13" i="19"/>
  <c r="B15" i="35"/>
  <c r="B15" i="34"/>
  <c r="B15" i="33"/>
  <c r="B15" i="32"/>
  <c r="B15" i="19"/>
  <c r="B15" i="31"/>
  <c r="B15" i="30"/>
  <c r="B15" i="22"/>
  <c r="B16" i="35"/>
  <c r="B16" i="34"/>
  <c r="B16" i="33"/>
  <c r="B16" i="32"/>
  <c r="B16" i="19"/>
  <c r="B16" i="31"/>
  <c r="B16" i="30"/>
  <c r="B16" i="22"/>
  <c r="B17" i="35"/>
  <c r="B17" i="34"/>
  <c r="B17" i="33"/>
  <c r="B17" i="32"/>
  <c r="B17" i="22"/>
  <c r="B17" i="19"/>
  <c r="B17" i="31"/>
  <c r="B17" i="30"/>
  <c r="B18" i="35"/>
  <c r="B18" i="34"/>
  <c r="B18" i="33"/>
  <c r="B18" i="32"/>
  <c r="B18" i="22"/>
  <c r="B18" i="19"/>
  <c r="B18" i="31"/>
  <c r="B18" i="30"/>
  <c r="E19" i="35"/>
  <c r="E19" i="34"/>
  <c r="E19" i="33"/>
  <c r="E19" i="32"/>
  <c r="E21" i="22"/>
  <c r="E5" i="20"/>
  <c r="E19" i="19"/>
  <c r="E19" i="31"/>
  <c r="E19" i="30"/>
  <c r="E20" i="35"/>
  <c r="E20" i="34"/>
  <c r="E20" i="33"/>
  <c r="E20" i="32"/>
  <c r="E22" i="22"/>
  <c r="E6" i="20"/>
  <c r="E20" i="19"/>
  <c r="E20" i="31"/>
  <c r="E20" i="30"/>
  <c r="E27" i="34"/>
  <c r="E27" i="33"/>
  <c r="E27" i="32"/>
  <c r="E27" i="35"/>
  <c r="E27" i="31"/>
  <c r="E27" i="30"/>
  <c r="E28" i="22"/>
  <c r="E12" i="20"/>
  <c r="E27" i="19"/>
  <c r="E30" i="35"/>
  <c r="E30" i="34"/>
  <c r="E30" i="32"/>
  <c r="E30" i="33"/>
  <c r="E30" i="31"/>
  <c r="E30" i="30"/>
  <c r="E15" i="20"/>
  <c r="E31" i="22"/>
  <c r="E30" i="19"/>
  <c r="F32" i="35"/>
  <c r="F32" i="34"/>
  <c r="F32" i="33"/>
  <c r="F32" i="32"/>
  <c r="F32" i="31"/>
  <c r="F32" i="30"/>
  <c r="F33" i="22"/>
  <c r="F17" i="20"/>
  <c r="F32" i="19"/>
  <c r="F34" i="35"/>
  <c r="F34" i="34"/>
  <c r="F34" i="33"/>
  <c r="F34" i="32"/>
  <c r="F19" i="20"/>
  <c r="F34" i="19"/>
  <c r="F34" i="31"/>
  <c r="F34" i="30"/>
  <c r="F35" i="22"/>
  <c r="F36" i="35"/>
  <c r="F36" i="34"/>
  <c r="F36" i="33"/>
  <c r="F36" i="32"/>
  <c r="F22" i="20"/>
  <c r="F21" i="20"/>
  <c r="F36" i="19"/>
  <c r="F36" i="31"/>
  <c r="F36" i="30"/>
  <c r="F38" i="22"/>
  <c r="F37" i="22"/>
  <c r="F38" i="35"/>
  <c r="F38" i="34"/>
  <c r="F38" i="33"/>
  <c r="F38" i="32"/>
  <c r="F24" i="20"/>
  <c r="F38" i="19"/>
  <c r="F38" i="31"/>
  <c r="F38" i="30"/>
  <c r="F40" i="22"/>
  <c r="F40" i="35"/>
  <c r="F40" i="34"/>
  <c r="F40" i="33"/>
  <c r="F40" i="32"/>
  <c r="F40" i="19"/>
  <c r="F40" i="31"/>
  <c r="F40" i="30"/>
  <c r="G36" i="35"/>
  <c r="G34" i="35"/>
  <c r="G37" i="35"/>
  <c r="G35" i="35"/>
  <c r="G33" i="35"/>
  <c r="G37" i="34"/>
  <c r="G35" i="34"/>
  <c r="G33" i="34"/>
  <c r="G36" i="34"/>
  <c r="G37" i="32"/>
  <c r="G34" i="34"/>
  <c r="G36" i="33"/>
  <c r="G34" i="33"/>
  <c r="G36" i="32"/>
  <c r="G35" i="32"/>
  <c r="G34" i="32"/>
  <c r="G33" i="32"/>
  <c r="G37" i="33"/>
  <c r="G33" i="33"/>
  <c r="G35" i="33"/>
  <c r="G37" i="31"/>
  <c r="G36" i="31"/>
  <c r="G35" i="31"/>
  <c r="G34" i="31"/>
  <c r="G33" i="31"/>
  <c r="G37" i="30"/>
  <c r="G36" i="30"/>
  <c r="G35" i="30"/>
  <c r="G34" i="30"/>
  <c r="G33" i="30"/>
  <c r="G37" i="22"/>
  <c r="G36" i="22"/>
  <c r="G35" i="22"/>
  <c r="G34" i="22"/>
  <c r="G21" i="20"/>
  <c r="G20" i="20"/>
  <c r="G19" i="20"/>
  <c r="G18" i="20"/>
  <c r="G37" i="19"/>
  <c r="G36" i="19"/>
  <c r="G35" i="19"/>
  <c r="G34" i="19"/>
  <c r="G33" i="19"/>
  <c r="E42" i="35"/>
  <c r="E42" i="33"/>
  <c r="E42" i="34"/>
  <c r="E42" i="32"/>
  <c r="E42" i="31"/>
  <c r="E42" i="22"/>
  <c r="E26" i="20"/>
  <c r="E42" i="19"/>
  <c r="E44" i="35"/>
  <c r="E44" i="33"/>
  <c r="E44" i="34"/>
  <c r="E44" i="32"/>
  <c r="E44" i="31"/>
  <c r="E44" i="22"/>
  <c r="E28" i="20"/>
  <c r="E44" i="19"/>
  <c r="F6" i="35"/>
  <c r="F6" i="34"/>
  <c r="F6" i="33"/>
  <c r="F6" i="32"/>
  <c r="F6" i="30"/>
  <c r="F7" i="22"/>
  <c r="F6" i="19"/>
  <c r="F6" i="31"/>
  <c r="F8" i="35"/>
  <c r="F8" i="34"/>
  <c r="F8" i="32"/>
  <c r="F8" i="33"/>
  <c r="F8" i="31"/>
  <c r="F8" i="30"/>
  <c r="F9" i="22"/>
  <c r="F8" i="19"/>
  <c r="F10" i="34"/>
  <c r="F10" i="35"/>
  <c r="F10" i="33"/>
  <c r="F10" i="32"/>
  <c r="F10" i="31"/>
  <c r="F10" i="30"/>
  <c r="F12" i="22"/>
  <c r="F11" i="22"/>
  <c r="F10" i="19"/>
  <c r="F12" i="35"/>
  <c r="F12" i="34"/>
  <c r="F12" i="32"/>
  <c r="F12" i="33"/>
  <c r="F12" i="31"/>
  <c r="F12" i="30"/>
  <c r="F14" i="22"/>
  <c r="F12" i="19"/>
  <c r="F14" i="34"/>
  <c r="F14" i="33"/>
  <c r="F14" i="32"/>
  <c r="F14" i="35"/>
  <c r="F14" i="31"/>
  <c r="F14" i="30"/>
  <c r="F14" i="19"/>
  <c r="G10" i="35"/>
  <c r="G10" i="34"/>
  <c r="G8" i="34"/>
  <c r="G9" i="35"/>
  <c r="G8" i="35"/>
  <c r="G7" i="35"/>
  <c r="G9" i="34"/>
  <c r="G11" i="34"/>
  <c r="G10" i="33"/>
  <c r="G8" i="33"/>
  <c r="G7" i="34"/>
  <c r="G11" i="33"/>
  <c r="G7" i="33"/>
  <c r="G11" i="32"/>
  <c r="G9" i="32"/>
  <c r="G7" i="32"/>
  <c r="G9" i="33"/>
  <c r="G8" i="32"/>
  <c r="G11" i="35"/>
  <c r="G10" i="32"/>
  <c r="G11" i="31"/>
  <c r="G9" i="31"/>
  <c r="G7" i="31"/>
  <c r="G11" i="30"/>
  <c r="G10" i="30"/>
  <c r="G8" i="30"/>
  <c r="G10" i="19"/>
  <c r="G8" i="19"/>
  <c r="G10" i="31"/>
  <c r="G8" i="31"/>
  <c r="G9" i="30"/>
  <c r="G7" i="30"/>
  <c r="G11" i="19"/>
  <c r="G9" i="19"/>
  <c r="G7" i="19"/>
  <c r="F33" i="35"/>
  <c r="F33" i="34"/>
  <c r="F33" i="33"/>
  <c r="F33" i="32"/>
  <c r="F18" i="20"/>
  <c r="F33" i="19"/>
  <c r="F33" i="31"/>
  <c r="F33" i="30"/>
  <c r="F34" i="22"/>
  <c r="F35" i="35"/>
  <c r="F35" i="34"/>
  <c r="F35" i="33"/>
  <c r="F35" i="32"/>
  <c r="F20" i="20"/>
  <c r="F35" i="19"/>
  <c r="F35" i="31"/>
  <c r="F35" i="30"/>
  <c r="F36" i="22"/>
  <c r="F37" i="35"/>
  <c r="F37" i="34"/>
  <c r="F37" i="33"/>
  <c r="F37" i="32"/>
  <c r="F23" i="20"/>
  <c r="F37" i="19"/>
  <c r="F37" i="31"/>
  <c r="F37" i="30"/>
  <c r="F39" i="22"/>
  <c r="F39" i="35"/>
  <c r="F39" i="34"/>
  <c r="F39" i="33"/>
  <c r="F39" i="32"/>
  <c r="F39" i="19"/>
  <c r="F39" i="31"/>
  <c r="F39" i="30"/>
  <c r="G40" i="35"/>
  <c r="G38" i="35"/>
  <c r="G39" i="35"/>
  <c r="G39" i="34"/>
  <c r="G40" i="34"/>
  <c r="G40" i="32"/>
  <c r="G39" i="32"/>
  <c r="G38" i="32"/>
  <c r="G40" i="33"/>
  <c r="G38" i="33"/>
  <c r="G38" i="34"/>
  <c r="G39" i="33"/>
  <c r="G40" i="31"/>
  <c r="G39" i="31"/>
  <c r="G38" i="31"/>
  <c r="G40" i="30"/>
  <c r="G39" i="30"/>
  <c r="G38" i="30"/>
  <c r="G40" i="22"/>
  <c r="G39" i="22"/>
  <c r="G38" i="22"/>
  <c r="G24" i="20"/>
  <c r="G23" i="20"/>
  <c r="G22" i="20"/>
  <c r="G40" i="19"/>
  <c r="G39" i="19"/>
  <c r="G38" i="19"/>
  <c r="F10" i="17"/>
  <c r="G10" i="17" s="1"/>
  <c r="H10" i="17" s="1"/>
  <c r="F11" i="17"/>
  <c r="G11" i="17" s="1"/>
  <c r="H11" i="17" s="1"/>
  <c r="F12" i="17"/>
  <c r="G12" i="17" s="1"/>
  <c r="H12" i="17" s="1"/>
  <c r="E8" i="41"/>
  <c r="E8" i="40"/>
  <c r="E8" i="38"/>
  <c r="E10" i="37"/>
  <c r="E8" i="39"/>
  <c r="E10" i="41"/>
  <c r="E10" i="39"/>
  <c r="E10" i="40"/>
  <c r="E10" i="38"/>
  <c r="E12" i="41"/>
  <c r="E12" i="39"/>
  <c r="E12" i="40"/>
  <c r="E12" i="38"/>
  <c r="E14" i="41"/>
  <c r="E14" i="39"/>
  <c r="E14" i="40"/>
  <c r="E14" i="38"/>
  <c r="E16" i="41"/>
  <c r="E16" i="39"/>
  <c r="E16" i="40"/>
  <c r="E16" i="38"/>
  <c r="F13" i="41"/>
  <c r="F12" i="41"/>
  <c r="F11" i="41"/>
  <c r="F10" i="41"/>
  <c r="F9" i="41"/>
  <c r="F13" i="40"/>
  <c r="F12" i="40"/>
  <c r="F11" i="40"/>
  <c r="F10" i="40"/>
  <c r="F9" i="40"/>
  <c r="F13" i="38"/>
  <c r="F12" i="38"/>
  <c r="F11" i="38"/>
  <c r="F10" i="38"/>
  <c r="F9" i="38"/>
  <c r="F13" i="39"/>
  <c r="F11" i="39"/>
  <c r="F9" i="39"/>
  <c r="F14" i="37"/>
  <c r="F13" i="37"/>
  <c r="F12" i="37"/>
  <c r="F11" i="37"/>
  <c r="F12" i="39"/>
  <c r="F10" i="39"/>
  <c r="D18" i="41"/>
  <c r="D19" i="41"/>
  <c r="D18" i="40"/>
  <c r="D19" i="39"/>
  <c r="D18" i="38"/>
  <c r="D19" i="40"/>
  <c r="D18" i="39"/>
  <c r="D19" i="38"/>
  <c r="D20" i="41"/>
  <c r="D20" i="40"/>
  <c r="D20" i="38"/>
  <c r="D20" i="39"/>
  <c r="D25" i="41"/>
  <c r="D25" i="40"/>
  <c r="D25" i="38"/>
  <c r="D25" i="39"/>
  <c r="D26" i="41"/>
  <c r="D26" i="39"/>
  <c r="D26" i="40"/>
  <c r="D26" i="38"/>
  <c r="D29" i="39"/>
  <c r="D29" i="41"/>
  <c r="D29" i="40"/>
  <c r="D29" i="38"/>
  <c r="D31" i="41"/>
  <c r="D31" i="39"/>
  <c r="D31" i="40"/>
  <c r="D31" i="38"/>
  <c r="D32" i="41"/>
  <c r="D32" i="40"/>
  <c r="D32" i="38"/>
  <c r="D32" i="39"/>
  <c r="D35" i="41"/>
  <c r="D35" i="40"/>
  <c r="D34" i="39"/>
  <c r="D35" i="38"/>
  <c r="D34" i="41"/>
  <c r="D34" i="40"/>
  <c r="D35" i="39"/>
  <c r="D34" i="38"/>
  <c r="D46" i="39"/>
  <c r="D46" i="41"/>
  <c r="D46" i="40"/>
  <c r="D46" i="38"/>
  <c r="D47" i="41"/>
  <c r="D47" i="40"/>
  <c r="D47" i="38"/>
  <c r="D47" i="39"/>
  <c r="D49" i="41"/>
  <c r="D49" i="40"/>
  <c r="D49" i="38"/>
  <c r="D49" i="39"/>
  <c r="J5" i="18"/>
  <c r="I5" i="18"/>
  <c r="I8" i="18"/>
  <c r="J8" i="18" s="1"/>
  <c r="I12" i="18"/>
  <c r="J12" i="18" s="1"/>
  <c r="J14" i="18"/>
  <c r="I14" i="18"/>
  <c r="E37" i="41"/>
  <c r="E37" i="39"/>
  <c r="E37" i="40"/>
  <c r="E39" i="41"/>
  <c r="E39" i="40"/>
  <c r="E39" i="38"/>
  <c r="E41" i="41"/>
  <c r="E41" i="40"/>
  <c r="E41" i="38"/>
  <c r="E41" i="39"/>
  <c r="E43" i="41"/>
  <c r="E43" i="40"/>
  <c r="E43" i="38"/>
  <c r="E43" i="39"/>
  <c r="E45" i="41"/>
  <c r="E45" i="40"/>
  <c r="E45" i="38"/>
  <c r="E45" i="39"/>
  <c r="F38" i="39"/>
  <c r="F38" i="41"/>
  <c r="F38" i="40"/>
  <c r="D53" i="39"/>
  <c r="E53" i="41"/>
  <c r="D53" i="40"/>
  <c r="D55" i="39"/>
  <c r="E55" i="41"/>
  <c r="D55" i="40"/>
  <c r="D57" i="39"/>
  <c r="E57" i="41"/>
  <c r="D57" i="40"/>
  <c r="D59" i="40"/>
  <c r="D59" i="39"/>
  <c r="E59" i="41"/>
  <c r="F60" i="41"/>
  <c r="F59" i="41"/>
  <c r="F58" i="41"/>
  <c r="E60" i="40"/>
  <c r="E58" i="40"/>
  <c r="F60" i="38"/>
  <c r="F59" i="38"/>
  <c r="F58" i="38"/>
  <c r="E59" i="40"/>
  <c r="E60" i="39"/>
  <c r="E59" i="39"/>
  <c r="E58" i="39"/>
  <c r="I8" i="20"/>
  <c r="J8" i="20" s="1"/>
  <c r="I13" i="20"/>
  <c r="J13" i="20" s="1"/>
  <c r="I7" i="18"/>
  <c r="J7" i="18" s="1"/>
  <c r="I9" i="18"/>
  <c r="J9" i="18" s="1"/>
  <c r="I11" i="18"/>
  <c r="J11" i="18" s="1"/>
  <c r="J24" i="22"/>
  <c r="J29" i="22"/>
  <c r="H81" i="42"/>
  <c r="D33" i="37" s="1"/>
  <c r="F38" i="38"/>
  <c r="E53" i="38"/>
  <c r="E55" i="38"/>
  <c r="E57" i="38"/>
  <c r="E59" i="38"/>
  <c r="D48" i="41"/>
  <c r="D48" i="39"/>
  <c r="D48" i="40"/>
  <c r="E52" i="41"/>
  <c r="D52" i="40"/>
  <c r="E52" i="38"/>
  <c r="D52" i="39"/>
  <c r="E54" i="41"/>
  <c r="D54" i="39"/>
  <c r="D54" i="40"/>
  <c r="E56" i="41"/>
  <c r="D56" i="39"/>
  <c r="D56" i="40"/>
  <c r="D58" i="40"/>
  <c r="E58" i="41"/>
  <c r="D58" i="39"/>
  <c r="D60" i="40"/>
  <c r="E60" i="41"/>
  <c r="D60" i="39"/>
  <c r="F57" i="41"/>
  <c r="F56" i="41"/>
  <c r="F55" i="41"/>
  <c r="F54" i="41"/>
  <c r="F53" i="41"/>
  <c r="E57" i="40"/>
  <c r="E56" i="40"/>
  <c r="E55" i="40"/>
  <c r="E54" i="40"/>
  <c r="E53" i="40"/>
  <c r="F57" i="38"/>
  <c r="F56" i="38"/>
  <c r="F55" i="38"/>
  <c r="F54" i="38"/>
  <c r="F53" i="38"/>
  <c r="E57" i="39"/>
  <c r="E56" i="39"/>
  <c r="E55" i="39"/>
  <c r="E54" i="39"/>
  <c r="E53" i="39"/>
  <c r="H48" i="42"/>
  <c r="D25" i="37" s="1"/>
  <c r="H77" i="42"/>
  <c r="D32" i="37" s="1"/>
  <c r="H91" i="42"/>
  <c r="D35" i="37" s="1"/>
  <c r="H123" i="42"/>
  <c r="D50" i="37" s="1"/>
  <c r="H128" i="42"/>
  <c r="D51" i="37" s="1"/>
  <c r="H161" i="42"/>
  <c r="D59" i="37" s="1"/>
  <c r="E37" i="38"/>
  <c r="D48" i="38"/>
  <c r="E54" i="38"/>
  <c r="E56" i="38"/>
  <c r="E58" i="38"/>
  <c r="E60" i="38"/>
  <c r="J63" i="38"/>
  <c r="J65" i="38"/>
  <c r="J68" i="38"/>
  <c r="J70" i="38"/>
  <c r="J73" i="38"/>
  <c r="J76" i="38"/>
  <c r="J78" i="38"/>
  <c r="J80" i="38"/>
  <c r="J82" i="38"/>
  <c r="J84" i="38"/>
  <c r="E39" i="39"/>
  <c r="J63" i="39"/>
  <c r="J65" i="39"/>
  <c r="J68" i="39"/>
  <c r="J70" i="39"/>
  <c r="J73" i="39"/>
  <c r="J76" i="39"/>
  <c r="J78" i="39"/>
  <c r="J80" i="39"/>
  <c r="J82" i="39"/>
  <c r="J84" i="39"/>
  <c r="J63" i="40"/>
  <c r="J65" i="40"/>
  <c r="J68" i="40"/>
  <c r="J70" i="40"/>
  <c r="J73" i="40"/>
  <c r="J76" i="40"/>
  <c r="J78" i="40"/>
  <c r="J80" i="40"/>
  <c r="J82" i="40"/>
  <c r="J84" i="40"/>
  <c r="J63" i="41"/>
  <c r="J65" i="41"/>
  <c r="J68" i="41"/>
  <c r="J70" i="41"/>
  <c r="J73" i="41"/>
  <c r="J76" i="41"/>
  <c r="J78" i="41"/>
  <c r="J80" i="41"/>
  <c r="J82" i="41"/>
  <c r="J84" i="41"/>
  <c r="H166" i="42"/>
  <c r="D60" i="37" s="1"/>
  <c r="H156" i="42"/>
  <c r="D58" i="37" s="1"/>
  <c r="H147" i="42"/>
  <c r="D56" i="37" s="1"/>
  <c r="H142" i="42"/>
  <c r="D55" i="37" s="1"/>
  <c r="H136" i="42"/>
  <c r="D53" i="37" s="1"/>
  <c r="H67" i="42"/>
  <c r="D30" i="37" s="1"/>
  <c r="H61" i="42"/>
  <c r="D28" i="37" s="1"/>
  <c r="H37" i="42"/>
  <c r="D20" i="37" s="1"/>
  <c r="H25" i="42"/>
  <c r="D18" i="37" s="1"/>
  <c r="H8" i="42"/>
  <c r="D17" i="37" s="1"/>
  <c r="F63" i="37"/>
  <c r="H31" i="42"/>
  <c r="D19" i="37" s="1"/>
  <c r="G160" i="42" l="1"/>
  <c r="H160" i="42" s="1"/>
  <c r="C59" i="37" s="1"/>
  <c r="G59" i="37" s="1"/>
  <c r="H59" i="37" s="1"/>
  <c r="J59" i="37" s="1"/>
  <c r="G141" i="42"/>
  <c r="H141" i="42" s="1"/>
  <c r="C55" i="37" s="1"/>
  <c r="G122" i="42"/>
  <c r="H122" i="42" s="1"/>
  <c r="C50" i="37" s="1"/>
  <c r="G50" i="37" s="1"/>
  <c r="H50" i="37" s="1"/>
  <c r="J50" i="37" s="1"/>
  <c r="G112" i="42"/>
  <c r="H112" i="42" s="1"/>
  <c r="C46" i="37" s="1"/>
  <c r="G46" i="37" s="1"/>
  <c r="H46" i="37" s="1"/>
  <c r="J46" i="37" s="1"/>
  <c r="G71" i="42"/>
  <c r="H71" i="42" s="1"/>
  <c r="C31" i="37" s="1"/>
  <c r="G31" i="37" s="1"/>
  <c r="H31" i="37" s="1"/>
  <c r="J31" i="37" s="1"/>
  <c r="G52" i="42"/>
  <c r="H52" i="42" s="1"/>
  <c r="C26" i="37" s="1"/>
  <c r="G26" i="37" s="1"/>
  <c r="H26" i="37" s="1"/>
  <c r="J26" i="37" s="1"/>
  <c r="G40" i="42"/>
  <c r="H40" i="42" s="1"/>
  <c r="C21" i="37" s="1"/>
  <c r="G21" i="37" s="1"/>
  <c r="H21" i="37" s="1"/>
  <c r="J21" i="37" s="1"/>
  <c r="G30" i="42"/>
  <c r="H30" i="42" s="1"/>
  <c r="C19" i="37" s="1"/>
  <c r="G165" i="42"/>
  <c r="H165" i="42" s="1"/>
  <c r="C60" i="37" s="1"/>
  <c r="G60" i="37" s="1"/>
  <c r="H60" i="37" s="1"/>
  <c r="J60" i="37" s="1"/>
  <c r="G146" i="42"/>
  <c r="H146" i="42" s="1"/>
  <c r="C56" i="37" s="1"/>
  <c r="G127" i="42"/>
  <c r="H127" i="42" s="1"/>
  <c r="C51" i="37" s="1"/>
  <c r="G51" i="37" s="1"/>
  <c r="H51" i="37" s="1"/>
  <c r="J51" i="37" s="1"/>
  <c r="G85" i="42"/>
  <c r="H85" i="42" s="1"/>
  <c r="C34" i="37" s="1"/>
  <c r="G34" i="37" s="1"/>
  <c r="H34" i="37" s="1"/>
  <c r="J34" i="37" s="1"/>
  <c r="G66" i="42"/>
  <c r="H66" i="42" s="1"/>
  <c r="C30" i="37" s="1"/>
  <c r="G47" i="42"/>
  <c r="H47" i="42" s="1"/>
  <c r="C25" i="37" s="1"/>
  <c r="G25" i="37" s="1"/>
  <c r="G36" i="42"/>
  <c r="H36" i="42" s="1"/>
  <c r="C20" i="37" s="1"/>
  <c r="G20" i="37" s="1"/>
  <c r="H20" i="37" s="1"/>
  <c r="G7" i="42"/>
  <c r="H7" i="42" s="1"/>
  <c r="C10" i="37" s="1"/>
  <c r="G131" i="42"/>
  <c r="H131" i="42" s="1"/>
  <c r="C52" i="37" s="1"/>
  <c r="G52" i="37" s="1"/>
  <c r="H52" i="37" s="1"/>
  <c r="J52" i="37" s="1"/>
  <c r="G90" i="42"/>
  <c r="H90" i="42" s="1"/>
  <c r="C35" i="37" s="1"/>
  <c r="G35" i="37" s="1"/>
  <c r="H35" i="37" s="1"/>
  <c r="J35" i="37" s="1"/>
  <c r="G56" i="42"/>
  <c r="H56" i="42" s="1"/>
  <c r="C27" i="37" s="1"/>
  <c r="G27" i="37" s="1"/>
  <c r="H27" i="37" s="1"/>
  <c r="G24" i="42"/>
  <c r="H24" i="42" s="1"/>
  <c r="C18" i="37" s="1"/>
  <c r="G193" i="36"/>
  <c r="H193" i="36" s="1"/>
  <c r="G188" i="36"/>
  <c r="H188" i="36" s="1"/>
  <c r="G183" i="36"/>
  <c r="H183" i="36" s="1"/>
  <c r="G153" i="36"/>
  <c r="H153" i="36" s="1"/>
  <c r="G135" i="42"/>
  <c r="H135" i="42" s="1"/>
  <c r="C53" i="37" s="1"/>
  <c r="G60" i="42"/>
  <c r="H60" i="42" s="1"/>
  <c r="C28" i="37" s="1"/>
  <c r="G168" i="36"/>
  <c r="H168" i="36" s="1"/>
  <c r="G163" i="36"/>
  <c r="H163" i="36" s="1"/>
  <c r="G157" i="36"/>
  <c r="H157" i="36" s="1"/>
  <c r="G149" i="36"/>
  <c r="H149" i="36" s="1"/>
  <c r="G144" i="36"/>
  <c r="H144" i="36" s="1"/>
  <c r="G115" i="36"/>
  <c r="H115" i="36" s="1"/>
  <c r="G97" i="36"/>
  <c r="H97" i="36" s="1"/>
  <c r="G92" i="36"/>
  <c r="H92" i="36" s="1"/>
  <c r="G87" i="36"/>
  <c r="H87" i="36" s="1"/>
  <c r="G57" i="36"/>
  <c r="H57" i="36" s="1"/>
  <c r="G72" i="36"/>
  <c r="H72" i="36" s="1"/>
  <c r="G61" i="36"/>
  <c r="H61" i="36" s="1"/>
  <c r="G48" i="36"/>
  <c r="H48" i="36" s="1"/>
  <c r="G31" i="36"/>
  <c r="H31" i="36" s="1"/>
  <c r="G7" i="36"/>
  <c r="H7" i="36" s="1"/>
  <c r="F77" i="15"/>
  <c r="G77" i="15" s="1"/>
  <c r="F71" i="15"/>
  <c r="G71" i="15" s="1"/>
  <c r="F63" i="15"/>
  <c r="G63" i="15" s="1"/>
  <c r="F57" i="15"/>
  <c r="G57" i="15" s="1"/>
  <c r="F41" i="15"/>
  <c r="G41" i="15" s="1"/>
  <c r="F36" i="15"/>
  <c r="G36" i="15" s="1"/>
  <c r="F29" i="15"/>
  <c r="G29" i="15" s="1"/>
  <c r="F3" i="15"/>
  <c r="G3" i="15" s="1"/>
  <c r="F41" i="21"/>
  <c r="G41" i="21" s="1"/>
  <c r="F36" i="21"/>
  <c r="G36" i="21" s="1"/>
  <c r="F29" i="21"/>
  <c r="G29" i="21" s="1"/>
  <c r="F3" i="21"/>
  <c r="F122" i="15"/>
  <c r="G122" i="15" s="1"/>
  <c r="F102" i="15"/>
  <c r="G102" i="15" s="1"/>
  <c r="F96" i="15"/>
  <c r="G96" i="15" s="1"/>
  <c r="F94" i="15"/>
  <c r="G94" i="15" s="1"/>
  <c r="F46" i="15"/>
  <c r="G46" i="15" s="1"/>
  <c r="G67" i="36"/>
  <c r="H67" i="36" s="1"/>
  <c r="G53" i="36"/>
  <c r="H53" i="36" s="1"/>
  <c r="G37" i="36"/>
  <c r="H37" i="36" s="1"/>
  <c r="G25" i="36"/>
  <c r="H25" i="36" s="1"/>
  <c r="G183" i="42"/>
  <c r="H183" i="42" s="1"/>
  <c r="C70" i="37" s="1"/>
  <c r="G70" i="37" s="1"/>
  <c r="G80" i="42"/>
  <c r="H80" i="42" s="1"/>
  <c r="C33" i="37" s="1"/>
  <c r="G33" i="37" s="1"/>
  <c r="H33" i="37" s="1"/>
  <c r="J33" i="37" s="1"/>
  <c r="G155" i="42"/>
  <c r="H155" i="42" s="1"/>
  <c r="C58" i="37" s="1"/>
  <c r="G108" i="42"/>
  <c r="H108" i="42" s="1"/>
  <c r="C45" i="37" s="1"/>
  <c r="G45" i="37" s="1"/>
  <c r="H45" i="37" s="1"/>
  <c r="J45" i="37" s="1"/>
  <c r="G177" i="36"/>
  <c r="H177" i="36" s="1"/>
  <c r="G207" i="36"/>
  <c r="H207" i="36" s="1"/>
  <c r="G123" i="36"/>
  <c r="H123" i="36" s="1"/>
  <c r="G81" i="36"/>
  <c r="H81" i="36" s="1"/>
  <c r="F132" i="15"/>
  <c r="G132" i="15" s="1"/>
  <c r="F88" i="15"/>
  <c r="G88" i="15" s="1"/>
  <c r="G111" i="36"/>
  <c r="H111" i="36" s="1"/>
  <c r="G28" i="37"/>
  <c r="H28" i="37" s="1"/>
  <c r="G53" i="37"/>
  <c r="H53" i="37" s="1"/>
  <c r="J53" i="37" s="1"/>
  <c r="G56" i="37"/>
  <c r="R5" i="18"/>
  <c r="R6" i="18" s="1"/>
  <c r="P5" i="18"/>
  <c r="P6" i="18" s="1"/>
  <c r="N5" i="18"/>
  <c r="N6" i="18" s="1"/>
  <c r="Q5" i="18"/>
  <c r="Q6" i="18" s="1"/>
  <c r="O5" i="18"/>
  <c r="O6" i="18" s="1"/>
  <c r="M5" i="18"/>
  <c r="E14" i="19"/>
  <c r="E12" i="19"/>
  <c r="E13" i="19"/>
  <c r="E13" i="30"/>
  <c r="E14" i="30"/>
  <c r="E12" i="30"/>
  <c r="E13" i="31"/>
  <c r="E14" i="31"/>
  <c r="E12" i="31"/>
  <c r="E13" i="32"/>
  <c r="E14" i="32"/>
  <c r="E12" i="32"/>
  <c r="E14" i="34"/>
  <c r="E12" i="34"/>
  <c r="E13" i="34"/>
  <c r="G19" i="37"/>
  <c r="H19" i="37" s="1"/>
  <c r="J19" i="37" s="1"/>
  <c r="G18" i="37"/>
  <c r="H18" i="37" s="1"/>
  <c r="J18" i="37" s="1"/>
  <c r="G30" i="37"/>
  <c r="H30" i="37" s="1"/>
  <c r="J30" i="37" s="1"/>
  <c r="G55" i="37"/>
  <c r="H55" i="37" s="1"/>
  <c r="J55" i="37" s="1"/>
  <c r="G58" i="37"/>
  <c r="H58" i="37" s="1"/>
  <c r="J58" i="37" s="1"/>
  <c r="E30" i="20"/>
  <c r="G170" i="42"/>
  <c r="H170" i="42" s="1"/>
  <c r="G151" i="42"/>
  <c r="H151" i="42" s="1"/>
  <c r="C57" i="37" s="1"/>
  <c r="G57" i="37" s="1"/>
  <c r="H57" i="37" s="1"/>
  <c r="J57" i="37" s="1"/>
  <c r="G95" i="42"/>
  <c r="H95" i="42" s="1"/>
  <c r="C37" i="37" s="1"/>
  <c r="G116" i="42"/>
  <c r="H116" i="42" s="1"/>
  <c r="C47" i="37" s="1"/>
  <c r="G47" i="37" s="1"/>
  <c r="H47" i="37" s="1"/>
  <c r="J47" i="37" s="1"/>
  <c r="G76" i="42"/>
  <c r="H76" i="42" s="1"/>
  <c r="C32" i="37" s="1"/>
  <c r="G32" i="37" s="1"/>
  <c r="H32" i="37" s="1"/>
  <c r="J32" i="37" s="1"/>
  <c r="G128" i="36"/>
  <c r="H128" i="36" s="1"/>
  <c r="G127" i="36"/>
  <c r="H127" i="36" s="1"/>
  <c r="G173" i="36"/>
  <c r="H173" i="36" s="1"/>
  <c r="G119" i="36"/>
  <c r="H119" i="36" s="1"/>
  <c r="G41" i="36"/>
  <c r="H41" i="36" s="1"/>
  <c r="F136" i="15"/>
  <c r="G136" i="15" s="1"/>
  <c r="F127" i="15"/>
  <c r="G127" i="15" s="1"/>
  <c r="F117" i="15"/>
  <c r="G117" i="15" s="1"/>
  <c r="F83" i="15"/>
  <c r="G83" i="15" s="1"/>
  <c r="F22" i="15"/>
  <c r="G22" i="15" s="1"/>
  <c r="F22" i="21"/>
  <c r="G22" i="21" s="1"/>
  <c r="F52" i="15"/>
  <c r="G52" i="15" s="1"/>
  <c r="G77" i="36"/>
  <c r="H77" i="36" s="1"/>
  <c r="I13" i="17"/>
  <c r="L16" i="22"/>
  <c r="E14" i="33"/>
  <c r="E12" i="33"/>
  <c r="E13" i="33"/>
  <c r="E14" i="35"/>
  <c r="E12" i="35"/>
  <c r="E13" i="35"/>
  <c r="D10" i="37"/>
  <c r="G10" i="37" s="1"/>
  <c r="I10" i="37" s="1"/>
  <c r="J10" i="37" s="1"/>
  <c r="D12" i="37"/>
  <c r="D13" i="37"/>
  <c r="D14" i="37"/>
  <c r="D11" i="37"/>
  <c r="D16" i="37"/>
  <c r="D15" i="37"/>
  <c r="H56" i="37"/>
  <c r="J56" i="37" s="1"/>
  <c r="J28" i="37"/>
  <c r="J27" i="37"/>
  <c r="J20" i="37"/>
  <c r="H70" i="37"/>
  <c r="J70" i="37" s="1"/>
  <c r="H25" i="37"/>
  <c r="J25" i="37" s="1"/>
  <c r="C31" i="41" l="1"/>
  <c r="G31" i="41" s="1"/>
  <c r="C31" i="40"/>
  <c r="G31" i="40" s="1"/>
  <c r="C31" i="38"/>
  <c r="G31" i="38" s="1"/>
  <c r="C31" i="39"/>
  <c r="G31" i="39" s="1"/>
  <c r="D15" i="35"/>
  <c r="H15" i="35" s="1"/>
  <c r="D15" i="34"/>
  <c r="H15" i="34" s="1"/>
  <c r="D15" i="32"/>
  <c r="H15" i="32" s="1"/>
  <c r="D15" i="33"/>
  <c r="H15" i="33" s="1"/>
  <c r="D15" i="31"/>
  <c r="H15" i="31" s="1"/>
  <c r="D15" i="30"/>
  <c r="H15" i="30" s="1"/>
  <c r="D15" i="22"/>
  <c r="H15" i="22" s="1"/>
  <c r="D15" i="19"/>
  <c r="H15" i="19" s="1"/>
  <c r="D26" i="35"/>
  <c r="H26" i="35" s="1"/>
  <c r="D26" i="34"/>
  <c r="H26" i="34" s="1"/>
  <c r="D26" i="33"/>
  <c r="H26" i="33" s="1"/>
  <c r="D26" i="32"/>
  <c r="H26" i="32" s="1"/>
  <c r="D26" i="19"/>
  <c r="H26" i="19" s="1"/>
  <c r="D26" i="31"/>
  <c r="H26" i="31" s="1"/>
  <c r="D26" i="30"/>
  <c r="H26" i="30" s="1"/>
  <c r="D27" i="22"/>
  <c r="H27" i="22" s="1"/>
  <c r="D11" i="20"/>
  <c r="H11" i="20" s="1"/>
  <c r="D43" i="35"/>
  <c r="H43" i="35" s="1"/>
  <c r="D43" i="34"/>
  <c r="H43" i="34" s="1"/>
  <c r="D43" i="33"/>
  <c r="H43" i="33" s="1"/>
  <c r="D43" i="32"/>
  <c r="H43" i="32" s="1"/>
  <c r="D27" i="20"/>
  <c r="H27" i="20" s="1"/>
  <c r="D43" i="19"/>
  <c r="H43" i="19" s="1"/>
  <c r="D43" i="31"/>
  <c r="H43" i="31" s="1"/>
  <c r="D43" i="22"/>
  <c r="H43" i="22" s="1"/>
  <c r="C20" i="41"/>
  <c r="G20" i="41" s="1"/>
  <c r="C20" i="39"/>
  <c r="G20" i="39" s="1"/>
  <c r="C20" i="40"/>
  <c r="G20" i="40" s="1"/>
  <c r="C20" i="38"/>
  <c r="G20" i="38" s="1"/>
  <c r="C60" i="41"/>
  <c r="G60" i="41" s="1"/>
  <c r="C59" i="41"/>
  <c r="G59" i="41" s="1"/>
  <c r="C58" i="41"/>
  <c r="G58" i="41" s="1"/>
  <c r="C57" i="41"/>
  <c r="G57" i="41" s="1"/>
  <c r="C56" i="41"/>
  <c r="G56" i="41" s="1"/>
  <c r="C55" i="41"/>
  <c r="G55" i="41" s="1"/>
  <c r="C54" i="41"/>
  <c r="G54" i="41" s="1"/>
  <c r="C53" i="41"/>
  <c r="G53" i="41" s="1"/>
  <c r="C52" i="41"/>
  <c r="G52" i="41" s="1"/>
  <c r="C59" i="40"/>
  <c r="G59" i="40" s="1"/>
  <c r="C57" i="40"/>
  <c r="G57" i="40" s="1"/>
  <c r="C56" i="40"/>
  <c r="G56" i="40" s="1"/>
  <c r="C55" i="40"/>
  <c r="G55" i="40" s="1"/>
  <c r="C54" i="40"/>
  <c r="G54" i="40" s="1"/>
  <c r="C53" i="40"/>
  <c r="G53" i="40" s="1"/>
  <c r="C52" i="39"/>
  <c r="G52" i="39" s="1"/>
  <c r="C60" i="38"/>
  <c r="G60" i="38" s="1"/>
  <c r="C59" i="38"/>
  <c r="G59" i="38" s="1"/>
  <c r="C58" i="38"/>
  <c r="G58" i="38" s="1"/>
  <c r="C57" i="38"/>
  <c r="G57" i="38" s="1"/>
  <c r="C56" i="38"/>
  <c r="G56" i="38" s="1"/>
  <c r="C55" i="38"/>
  <c r="G55" i="38" s="1"/>
  <c r="C54" i="38"/>
  <c r="G54" i="38" s="1"/>
  <c r="C53" i="38"/>
  <c r="G53" i="38" s="1"/>
  <c r="C60" i="40"/>
  <c r="G60" i="40" s="1"/>
  <c r="C58" i="40"/>
  <c r="G58" i="40" s="1"/>
  <c r="C52" i="40"/>
  <c r="G52" i="40" s="1"/>
  <c r="C60" i="39"/>
  <c r="G60" i="39" s="1"/>
  <c r="C59" i="39"/>
  <c r="G59" i="39" s="1"/>
  <c r="C58" i="39"/>
  <c r="G58" i="39" s="1"/>
  <c r="C57" i="39"/>
  <c r="G57" i="39" s="1"/>
  <c r="C56" i="39"/>
  <c r="G56" i="39" s="1"/>
  <c r="C55" i="39"/>
  <c r="G55" i="39" s="1"/>
  <c r="C54" i="39"/>
  <c r="G54" i="39" s="1"/>
  <c r="C53" i="39"/>
  <c r="G53" i="39" s="1"/>
  <c r="C52" i="38"/>
  <c r="G52" i="38" s="1"/>
  <c r="D27" i="35"/>
  <c r="H27" i="35" s="1"/>
  <c r="D27" i="34"/>
  <c r="H27" i="34" s="1"/>
  <c r="D27" i="33"/>
  <c r="H27" i="33" s="1"/>
  <c r="D27" i="32"/>
  <c r="H27" i="32" s="1"/>
  <c r="D12" i="20"/>
  <c r="H12" i="20" s="1"/>
  <c r="D27" i="19"/>
  <c r="H27" i="19" s="1"/>
  <c r="D27" i="31"/>
  <c r="H27" i="31" s="1"/>
  <c r="D27" i="30"/>
  <c r="H27" i="30" s="1"/>
  <c r="D28" i="22"/>
  <c r="H28" i="22" s="1"/>
  <c r="C32" i="41"/>
  <c r="G32" i="41" s="1"/>
  <c r="C32" i="39"/>
  <c r="G32" i="39" s="1"/>
  <c r="C32" i="40"/>
  <c r="G32" i="40" s="1"/>
  <c r="C32" i="38"/>
  <c r="G32" i="38" s="1"/>
  <c r="C17" i="41"/>
  <c r="G17" i="41" s="1"/>
  <c r="C17" i="40"/>
  <c r="G17" i="40" s="1"/>
  <c r="C17" i="38"/>
  <c r="G17" i="38" s="1"/>
  <c r="C17" i="39"/>
  <c r="G17" i="39" s="1"/>
  <c r="C25" i="39"/>
  <c r="G25" i="39" s="1"/>
  <c r="C25" i="41"/>
  <c r="G25" i="41" s="1"/>
  <c r="C25" i="40"/>
  <c r="G25" i="40" s="1"/>
  <c r="C25" i="38"/>
  <c r="G25" i="38" s="1"/>
  <c r="D19" i="35"/>
  <c r="H19" i="35" s="1"/>
  <c r="D19" i="34"/>
  <c r="H19" i="34" s="1"/>
  <c r="D19" i="33"/>
  <c r="H19" i="33" s="1"/>
  <c r="D19" i="32"/>
  <c r="H19" i="32" s="1"/>
  <c r="D19" i="31"/>
  <c r="H19" i="31" s="1"/>
  <c r="D19" i="30"/>
  <c r="H19" i="30" s="1"/>
  <c r="D21" i="22"/>
  <c r="H21" i="22" s="1"/>
  <c r="D5" i="20"/>
  <c r="H5" i="20" s="1"/>
  <c r="D19" i="19"/>
  <c r="H19" i="19" s="1"/>
  <c r="D30" i="35"/>
  <c r="H30" i="35" s="1"/>
  <c r="D30" i="34"/>
  <c r="H30" i="34" s="1"/>
  <c r="D30" i="33"/>
  <c r="H30" i="33" s="1"/>
  <c r="D30" i="32"/>
  <c r="H30" i="32" s="1"/>
  <c r="D31" i="22"/>
  <c r="H31" i="22" s="1"/>
  <c r="D30" i="19"/>
  <c r="H30" i="19" s="1"/>
  <c r="D30" i="31"/>
  <c r="H30" i="31" s="1"/>
  <c r="D30" i="30"/>
  <c r="H30" i="30" s="1"/>
  <c r="D15" i="20"/>
  <c r="H15" i="20" s="1"/>
  <c r="D42" i="35"/>
  <c r="H42" i="35" s="1"/>
  <c r="D42" i="34"/>
  <c r="H42" i="34" s="1"/>
  <c r="D42" i="33"/>
  <c r="H42" i="33" s="1"/>
  <c r="D42" i="32"/>
  <c r="H42" i="32" s="1"/>
  <c r="D26" i="20"/>
  <c r="H26" i="20" s="1"/>
  <c r="D42" i="19"/>
  <c r="H42" i="19" s="1"/>
  <c r="D42" i="31"/>
  <c r="H42" i="31" s="1"/>
  <c r="D42" i="22"/>
  <c r="H42" i="22" s="1"/>
  <c r="D16" i="35"/>
  <c r="H16" i="35" s="1"/>
  <c r="D16" i="34"/>
  <c r="H16" i="34" s="1"/>
  <c r="D16" i="33"/>
  <c r="H16" i="33" s="1"/>
  <c r="D16" i="32"/>
  <c r="H16" i="32" s="1"/>
  <c r="D16" i="31"/>
  <c r="H16" i="31" s="1"/>
  <c r="D16" i="30"/>
  <c r="H16" i="30" s="1"/>
  <c r="D16" i="22"/>
  <c r="H16" i="22" s="1"/>
  <c r="D16" i="19"/>
  <c r="H16" i="19" s="1"/>
  <c r="D18" i="35"/>
  <c r="H18" i="35" s="1"/>
  <c r="D18" i="33"/>
  <c r="H18" i="33" s="1"/>
  <c r="D18" i="32"/>
  <c r="H18" i="32" s="1"/>
  <c r="D18" i="34"/>
  <c r="H18" i="34" s="1"/>
  <c r="D18" i="31"/>
  <c r="H18" i="31" s="1"/>
  <c r="D18" i="30"/>
  <c r="H18" i="30" s="1"/>
  <c r="D18" i="22"/>
  <c r="H18" i="22" s="1"/>
  <c r="D18" i="19"/>
  <c r="H18" i="19" s="1"/>
  <c r="D22" i="35"/>
  <c r="H22" i="35" s="1"/>
  <c r="D22" i="33"/>
  <c r="H22" i="33" s="1"/>
  <c r="D22" i="32"/>
  <c r="H22" i="32" s="1"/>
  <c r="D22" i="34"/>
  <c r="H22" i="34" s="1"/>
  <c r="D22" i="31"/>
  <c r="H22" i="31" s="1"/>
  <c r="D22" i="30"/>
  <c r="H22" i="30" s="1"/>
  <c r="D22" i="19"/>
  <c r="H22" i="19" s="1"/>
  <c r="D25" i="35"/>
  <c r="H25" i="35" s="1"/>
  <c r="D25" i="34"/>
  <c r="H25" i="34" s="1"/>
  <c r="D25" i="33"/>
  <c r="H25" i="33" s="1"/>
  <c r="D25" i="32"/>
  <c r="H25" i="32" s="1"/>
  <c r="D10" i="20"/>
  <c r="H10" i="20" s="1"/>
  <c r="D25" i="19"/>
  <c r="H25" i="19" s="1"/>
  <c r="D25" i="31"/>
  <c r="H25" i="31" s="1"/>
  <c r="D25" i="30"/>
  <c r="H25" i="30" s="1"/>
  <c r="D26" i="22"/>
  <c r="H26" i="22" s="1"/>
  <c r="C18" i="39"/>
  <c r="G18" i="39" s="1"/>
  <c r="C18" i="41"/>
  <c r="G18" i="41" s="1"/>
  <c r="C18" i="40"/>
  <c r="G18" i="40" s="1"/>
  <c r="C18" i="38"/>
  <c r="G18" i="38" s="1"/>
  <c r="C27" i="41"/>
  <c r="G27" i="41" s="1"/>
  <c r="C27" i="39"/>
  <c r="G27" i="39" s="1"/>
  <c r="C27" i="40"/>
  <c r="G27" i="40" s="1"/>
  <c r="C27" i="38"/>
  <c r="G27" i="38" s="1"/>
  <c r="C26" i="41"/>
  <c r="G26" i="41" s="1"/>
  <c r="C26" i="40"/>
  <c r="G26" i="40" s="1"/>
  <c r="C26" i="38"/>
  <c r="G26" i="38" s="1"/>
  <c r="C26" i="39"/>
  <c r="G26" i="39" s="1"/>
  <c r="C35" i="39"/>
  <c r="G35" i="39" s="1"/>
  <c r="C35" i="41"/>
  <c r="G35" i="41" s="1"/>
  <c r="C35" i="40"/>
  <c r="G35" i="40" s="1"/>
  <c r="C35" i="38"/>
  <c r="G35" i="38" s="1"/>
  <c r="C47" i="39"/>
  <c r="G47" i="39" s="1"/>
  <c r="C47" i="41"/>
  <c r="G47" i="41" s="1"/>
  <c r="C47" i="40"/>
  <c r="G47" i="40" s="1"/>
  <c r="C47" i="38"/>
  <c r="G47" i="38" s="1"/>
  <c r="C17" i="37"/>
  <c r="G17" i="37" s="1"/>
  <c r="I17" i="37" s="1"/>
  <c r="J17" i="37" s="1"/>
  <c r="C15" i="37"/>
  <c r="G15" i="37" s="1"/>
  <c r="I15" i="37" s="1"/>
  <c r="J15" i="37" s="1"/>
  <c r="C13" i="37"/>
  <c r="G13" i="37" s="1"/>
  <c r="I13" i="37" s="1"/>
  <c r="J13" i="37" s="1"/>
  <c r="C11" i="37"/>
  <c r="G11" i="37" s="1"/>
  <c r="I11" i="37" s="1"/>
  <c r="J11" i="37" s="1"/>
  <c r="C16" i="37"/>
  <c r="G16" i="37" s="1"/>
  <c r="I16" i="37" s="1"/>
  <c r="J16" i="37" s="1"/>
  <c r="C14" i="37"/>
  <c r="G14" i="37" s="1"/>
  <c r="I14" i="37" s="1"/>
  <c r="J14" i="37" s="1"/>
  <c r="C12" i="37"/>
  <c r="G12" i="37"/>
  <c r="I12" i="37" s="1"/>
  <c r="J12" i="37" s="1"/>
  <c r="D20" i="35"/>
  <c r="H20" i="35" s="1"/>
  <c r="D20" i="33"/>
  <c r="H20" i="33" s="1"/>
  <c r="D20" i="32"/>
  <c r="H20" i="32" s="1"/>
  <c r="D20" i="34"/>
  <c r="H20" i="34" s="1"/>
  <c r="D20" i="31"/>
  <c r="H20" i="31" s="1"/>
  <c r="D20" i="30"/>
  <c r="H20" i="30" s="1"/>
  <c r="D22" i="22"/>
  <c r="H22" i="22" s="1"/>
  <c r="D6" i="20"/>
  <c r="H6" i="20" s="1"/>
  <c r="D20" i="19"/>
  <c r="H20" i="19" s="1"/>
  <c r="D41" i="35"/>
  <c r="H41" i="35" s="1"/>
  <c r="D41" i="34"/>
  <c r="H41" i="34" s="1"/>
  <c r="D41" i="33"/>
  <c r="H41" i="33" s="1"/>
  <c r="D41" i="32"/>
  <c r="H41" i="32" s="1"/>
  <c r="D25" i="20"/>
  <c r="H25" i="20" s="1"/>
  <c r="D41" i="19"/>
  <c r="H41" i="19" s="1"/>
  <c r="D41" i="31"/>
  <c r="H41" i="31" s="1"/>
  <c r="D41" i="30"/>
  <c r="H41" i="30" s="1"/>
  <c r="D41" i="22"/>
  <c r="H41" i="22" s="1"/>
  <c r="D45" i="35"/>
  <c r="H45" i="35" s="1"/>
  <c r="D45" i="34"/>
  <c r="H45" i="34" s="1"/>
  <c r="D45" i="33"/>
  <c r="H45" i="33" s="1"/>
  <c r="D45" i="32"/>
  <c r="H45" i="32" s="1"/>
  <c r="D45" i="22"/>
  <c r="H45" i="22" s="1"/>
  <c r="D29" i="20"/>
  <c r="H29" i="20" s="1"/>
  <c r="D45" i="19"/>
  <c r="H45" i="19" s="1"/>
  <c r="D45" i="31"/>
  <c r="H45" i="31" s="1"/>
  <c r="C48" i="41"/>
  <c r="G48" i="41" s="1"/>
  <c r="C48" i="40"/>
  <c r="G48" i="40" s="1"/>
  <c r="C48" i="38"/>
  <c r="G48" i="38" s="1"/>
  <c r="C48" i="39"/>
  <c r="G48" i="39" s="1"/>
  <c r="C50" i="41"/>
  <c r="G50" i="41" s="1"/>
  <c r="C50" i="40"/>
  <c r="G50" i="40" s="1"/>
  <c r="C50" i="38"/>
  <c r="G50" i="38" s="1"/>
  <c r="C50" i="39"/>
  <c r="G50" i="39" s="1"/>
  <c r="C44" i="37"/>
  <c r="G44" i="37" s="1"/>
  <c r="I44" i="37" s="1"/>
  <c r="J44" i="37" s="1"/>
  <c r="C39" i="37"/>
  <c r="G39" i="37" s="1"/>
  <c r="I39" i="37" s="1"/>
  <c r="J39" i="37" s="1"/>
  <c r="C41" i="37"/>
  <c r="G41" i="37" s="1"/>
  <c r="I41" i="37" s="1"/>
  <c r="J41" i="37" s="1"/>
  <c r="C43" i="37"/>
  <c r="G43" i="37" s="1"/>
  <c r="I43" i="37" s="1"/>
  <c r="J43" i="37" s="1"/>
  <c r="G37" i="37"/>
  <c r="C38" i="37"/>
  <c r="G38" i="37" s="1"/>
  <c r="I38" i="37" s="1"/>
  <c r="J38" i="37" s="1"/>
  <c r="C40" i="37"/>
  <c r="G40" i="37" s="1"/>
  <c r="I40" i="37" s="1"/>
  <c r="J40" i="37" s="1"/>
  <c r="C42" i="37"/>
  <c r="G42" i="37" s="1"/>
  <c r="I42" i="37" s="1"/>
  <c r="J42" i="37" s="1"/>
  <c r="C62" i="37"/>
  <c r="G62" i="37" s="1"/>
  <c r="I62" i="37" s="1"/>
  <c r="J62" i="37" s="1"/>
  <c r="C63" i="37"/>
  <c r="L8" i="18"/>
  <c r="M6" i="18"/>
  <c r="S6" i="18" s="1"/>
  <c r="L7" i="18"/>
  <c r="L6" i="18"/>
  <c r="L9" i="18" s="1"/>
  <c r="C46" i="41"/>
  <c r="G46" i="41" s="1"/>
  <c r="C46" i="40"/>
  <c r="G46" i="40" s="1"/>
  <c r="C46" i="38"/>
  <c r="G46" i="38" s="1"/>
  <c r="C46" i="39"/>
  <c r="G46" i="39" s="1"/>
  <c r="D44" i="35"/>
  <c r="H44" i="35" s="1"/>
  <c r="D44" i="34"/>
  <c r="H44" i="34" s="1"/>
  <c r="D44" i="33"/>
  <c r="H44" i="33" s="1"/>
  <c r="D44" i="32"/>
  <c r="H44" i="32" s="1"/>
  <c r="D28" i="20"/>
  <c r="H28" i="20" s="1"/>
  <c r="D44" i="19"/>
  <c r="H44" i="19" s="1"/>
  <c r="D44" i="31"/>
  <c r="H44" i="31" s="1"/>
  <c r="D44" i="22"/>
  <c r="H44" i="22" s="1"/>
  <c r="C49" i="41"/>
  <c r="G49" i="41" s="1"/>
  <c r="C49" i="39"/>
  <c r="G49" i="39" s="1"/>
  <c r="C49" i="40"/>
  <c r="G49" i="40" s="1"/>
  <c r="C49" i="38"/>
  <c r="G49" i="38" s="1"/>
  <c r="C19" i="41"/>
  <c r="G19" i="41" s="1"/>
  <c r="C19" i="40"/>
  <c r="G19" i="40" s="1"/>
  <c r="C19" i="38"/>
  <c r="G19" i="38" s="1"/>
  <c r="C19" i="39"/>
  <c r="G19" i="39" s="1"/>
  <c r="C29" i="41"/>
  <c r="G29" i="41" s="1"/>
  <c r="C29" i="40"/>
  <c r="G29" i="40" s="1"/>
  <c r="C29" i="38"/>
  <c r="G29" i="38" s="1"/>
  <c r="C29" i="39"/>
  <c r="G29" i="39" s="1"/>
  <c r="D29" i="35"/>
  <c r="H29" i="35" s="1"/>
  <c r="D29" i="34"/>
  <c r="H29" i="34" s="1"/>
  <c r="D29" i="33"/>
  <c r="H29" i="33" s="1"/>
  <c r="D29" i="32"/>
  <c r="H29" i="32" s="1"/>
  <c r="D29" i="31"/>
  <c r="H29" i="31" s="1"/>
  <c r="D29" i="30"/>
  <c r="H29" i="30" s="1"/>
  <c r="D14" i="20"/>
  <c r="H14" i="20" s="1"/>
  <c r="D30" i="22"/>
  <c r="H30" i="22" s="1"/>
  <c r="D29" i="19"/>
  <c r="H29" i="19" s="1"/>
  <c r="D32" i="35"/>
  <c r="H32" i="35" s="1"/>
  <c r="D39" i="35"/>
  <c r="H39" i="35" s="1"/>
  <c r="D37" i="35"/>
  <c r="H37" i="35" s="1"/>
  <c r="D35" i="35"/>
  <c r="H35" i="35" s="1"/>
  <c r="D33" i="35"/>
  <c r="H33" i="35" s="1"/>
  <c r="D40" i="35"/>
  <c r="H40" i="35" s="1"/>
  <c r="D38" i="35"/>
  <c r="H38" i="35" s="1"/>
  <c r="D36" i="35"/>
  <c r="H36" i="35" s="1"/>
  <c r="D34" i="35"/>
  <c r="H34" i="35" s="1"/>
  <c r="D32" i="34"/>
  <c r="H32" i="34" s="1"/>
  <c r="D40" i="34"/>
  <c r="H40" i="34" s="1"/>
  <c r="D38" i="34"/>
  <c r="H38" i="34" s="1"/>
  <c r="D36" i="34"/>
  <c r="H36" i="34" s="1"/>
  <c r="D34" i="34"/>
  <c r="H34" i="34" s="1"/>
  <c r="D39" i="34"/>
  <c r="H39" i="34" s="1"/>
  <c r="D35" i="34"/>
  <c r="H35" i="34" s="1"/>
  <c r="D32" i="33"/>
  <c r="H32" i="33" s="1"/>
  <c r="D40" i="32"/>
  <c r="H40" i="32" s="1"/>
  <c r="D39" i="32"/>
  <c r="H39" i="32" s="1"/>
  <c r="D38" i="32"/>
  <c r="H38" i="32" s="1"/>
  <c r="D37" i="34"/>
  <c r="H37" i="34" s="1"/>
  <c r="D39" i="33"/>
  <c r="H39" i="33" s="1"/>
  <c r="D37" i="33"/>
  <c r="H37" i="33" s="1"/>
  <c r="D35" i="33"/>
  <c r="H35" i="33" s="1"/>
  <c r="D33" i="33"/>
  <c r="H33" i="33" s="1"/>
  <c r="D37" i="32"/>
  <c r="H37" i="32" s="1"/>
  <c r="D36" i="32"/>
  <c r="H36" i="32" s="1"/>
  <c r="D35" i="32"/>
  <c r="H35" i="32" s="1"/>
  <c r="D34" i="32"/>
  <c r="H34" i="32" s="1"/>
  <c r="D33" i="32"/>
  <c r="H33" i="32" s="1"/>
  <c r="D40" i="33"/>
  <c r="H40" i="33" s="1"/>
  <c r="D36" i="33"/>
  <c r="H36" i="33" s="1"/>
  <c r="D33" i="34"/>
  <c r="H33" i="34" s="1"/>
  <c r="D38" i="33"/>
  <c r="H38" i="33" s="1"/>
  <c r="D34" i="33"/>
  <c r="H34" i="33" s="1"/>
  <c r="D32" i="32"/>
  <c r="H32" i="32" s="1"/>
  <c r="D40" i="31"/>
  <c r="H40" i="31" s="1"/>
  <c r="D39" i="31"/>
  <c r="H39" i="31" s="1"/>
  <c r="D38" i="31"/>
  <c r="H38" i="31" s="1"/>
  <c r="D37" i="31"/>
  <c r="H37" i="31" s="1"/>
  <c r="D36" i="31"/>
  <c r="H36" i="31" s="1"/>
  <c r="D35" i="31"/>
  <c r="H35" i="31" s="1"/>
  <c r="D34" i="31"/>
  <c r="H34" i="31" s="1"/>
  <c r="D33" i="31"/>
  <c r="H33" i="31" s="1"/>
  <c r="D40" i="30"/>
  <c r="H40" i="30" s="1"/>
  <c r="D39" i="30"/>
  <c r="H39" i="30" s="1"/>
  <c r="D38" i="30"/>
  <c r="H38" i="30" s="1"/>
  <c r="D37" i="30"/>
  <c r="H37" i="30" s="1"/>
  <c r="D36" i="30"/>
  <c r="H36" i="30" s="1"/>
  <c r="D35" i="30"/>
  <c r="H35" i="30" s="1"/>
  <c r="D34" i="30"/>
  <c r="H34" i="30" s="1"/>
  <c r="D33" i="30"/>
  <c r="H33" i="30" s="1"/>
  <c r="D40" i="22"/>
  <c r="H40" i="22" s="1"/>
  <c r="D39" i="22"/>
  <c r="H39" i="22" s="1"/>
  <c r="D38" i="22"/>
  <c r="H38" i="22" s="1"/>
  <c r="D37" i="22"/>
  <c r="H37" i="22" s="1"/>
  <c r="D36" i="22"/>
  <c r="H36" i="22" s="1"/>
  <c r="D35" i="22"/>
  <c r="H35" i="22" s="1"/>
  <c r="D34" i="22"/>
  <c r="H34" i="22" s="1"/>
  <c r="D17" i="20"/>
  <c r="H17" i="20" s="1"/>
  <c r="D32" i="19"/>
  <c r="H32" i="19" s="1"/>
  <c r="D32" i="31"/>
  <c r="H32" i="31" s="1"/>
  <c r="D32" i="30"/>
  <c r="H32" i="30" s="1"/>
  <c r="D33" i="22"/>
  <c r="H33" i="22" s="1"/>
  <c r="D24" i="20"/>
  <c r="H24" i="20" s="1"/>
  <c r="D23" i="20"/>
  <c r="H23" i="20" s="1"/>
  <c r="D22" i="20"/>
  <c r="H22" i="20" s="1"/>
  <c r="D21" i="20"/>
  <c r="H21" i="20" s="1"/>
  <c r="D20" i="20"/>
  <c r="H20" i="20" s="1"/>
  <c r="D19" i="20"/>
  <c r="H19" i="20" s="1"/>
  <c r="D18" i="20"/>
  <c r="H18" i="20" s="1"/>
  <c r="D40" i="19"/>
  <c r="H40" i="19" s="1"/>
  <c r="D39" i="19"/>
  <c r="H39" i="19" s="1"/>
  <c r="D38" i="19"/>
  <c r="H38" i="19" s="1"/>
  <c r="D37" i="19"/>
  <c r="H37" i="19" s="1"/>
  <c r="D36" i="19"/>
  <c r="H36" i="19" s="1"/>
  <c r="D35" i="19"/>
  <c r="H35" i="19" s="1"/>
  <c r="D34" i="19"/>
  <c r="H34" i="19" s="1"/>
  <c r="D33" i="19"/>
  <c r="H33" i="19" s="1"/>
  <c r="D7" i="22"/>
  <c r="H7" i="22" s="1"/>
  <c r="G3" i="21"/>
  <c r="D17" i="35"/>
  <c r="H17" i="35" s="1"/>
  <c r="D17" i="34"/>
  <c r="H17" i="34" s="1"/>
  <c r="D17" i="32"/>
  <c r="H17" i="32" s="1"/>
  <c r="D17" i="33"/>
  <c r="H17" i="33" s="1"/>
  <c r="D17" i="31"/>
  <c r="H17" i="31" s="1"/>
  <c r="D17" i="30"/>
  <c r="H17" i="30" s="1"/>
  <c r="D17" i="22"/>
  <c r="H17" i="22" s="1"/>
  <c r="D17" i="19"/>
  <c r="H17" i="19" s="1"/>
  <c r="D21" i="35"/>
  <c r="H21" i="35" s="1"/>
  <c r="D21" i="34"/>
  <c r="H21" i="34" s="1"/>
  <c r="D21" i="33"/>
  <c r="H21" i="33" s="1"/>
  <c r="D21" i="32"/>
  <c r="H21" i="32" s="1"/>
  <c r="D21" i="31"/>
  <c r="H21" i="31" s="1"/>
  <c r="D21" i="30"/>
  <c r="H21" i="30" s="1"/>
  <c r="D23" i="22"/>
  <c r="H23" i="22" s="1"/>
  <c r="D7" i="20"/>
  <c r="H7" i="20" s="1"/>
  <c r="D21" i="19"/>
  <c r="H21" i="19" s="1"/>
  <c r="D24" i="35"/>
  <c r="H24" i="35" s="1"/>
  <c r="D24" i="34"/>
  <c r="H24" i="34" s="1"/>
  <c r="D24" i="33"/>
  <c r="H24" i="33" s="1"/>
  <c r="D24" i="32"/>
  <c r="H24" i="32" s="1"/>
  <c r="D24" i="19"/>
  <c r="H24" i="19" s="1"/>
  <c r="D24" i="31"/>
  <c r="H24" i="31" s="1"/>
  <c r="D24" i="30"/>
  <c r="H24" i="30" s="1"/>
  <c r="D25" i="22"/>
  <c r="H25" i="22" s="1"/>
  <c r="D9" i="20"/>
  <c r="H9" i="20" s="1"/>
  <c r="C16" i="41"/>
  <c r="G16" i="41" s="1"/>
  <c r="C15" i="41"/>
  <c r="G15" i="41" s="1"/>
  <c r="C14" i="41"/>
  <c r="G14" i="41" s="1"/>
  <c r="C13" i="41"/>
  <c r="G13" i="41" s="1"/>
  <c r="C12" i="41"/>
  <c r="G12" i="41" s="1"/>
  <c r="C11" i="41"/>
  <c r="G11" i="41" s="1"/>
  <c r="C10" i="41"/>
  <c r="G10" i="41" s="1"/>
  <c r="C9" i="41"/>
  <c r="G9" i="41" s="1"/>
  <c r="C8" i="41"/>
  <c r="G8" i="41" s="1"/>
  <c r="C16" i="40"/>
  <c r="G16" i="40" s="1"/>
  <c r="C15" i="40"/>
  <c r="G15" i="40" s="1"/>
  <c r="C14" i="40"/>
  <c r="G14" i="40" s="1"/>
  <c r="C13" i="40"/>
  <c r="G13" i="40" s="1"/>
  <c r="C12" i="40"/>
  <c r="G12" i="40" s="1"/>
  <c r="C11" i="40"/>
  <c r="G11" i="40" s="1"/>
  <c r="C10" i="40"/>
  <c r="G10" i="40" s="1"/>
  <c r="C9" i="40"/>
  <c r="G9" i="40" s="1"/>
  <c r="C8" i="39"/>
  <c r="G8" i="39" s="1"/>
  <c r="C16" i="38"/>
  <c r="G16" i="38" s="1"/>
  <c r="C15" i="38"/>
  <c r="G15" i="38" s="1"/>
  <c r="C14" i="38"/>
  <c r="G14" i="38" s="1"/>
  <c r="C13" i="38"/>
  <c r="G13" i="38" s="1"/>
  <c r="C12" i="38"/>
  <c r="G12" i="38" s="1"/>
  <c r="C11" i="38"/>
  <c r="G11" i="38" s="1"/>
  <c r="C10" i="38"/>
  <c r="G10" i="38" s="1"/>
  <c r="C9" i="38"/>
  <c r="G9" i="38" s="1"/>
  <c r="C8" i="40"/>
  <c r="G8" i="40" s="1"/>
  <c r="C16" i="39"/>
  <c r="G16" i="39" s="1"/>
  <c r="C14" i="39"/>
  <c r="G14" i="39" s="1"/>
  <c r="C12" i="39"/>
  <c r="G12" i="39" s="1"/>
  <c r="C10" i="39"/>
  <c r="G10" i="39" s="1"/>
  <c r="C8" i="38"/>
  <c r="G8" i="38" s="1"/>
  <c r="C15" i="39"/>
  <c r="G15" i="39" s="1"/>
  <c r="C13" i="39"/>
  <c r="G13" i="39" s="1"/>
  <c r="C11" i="39"/>
  <c r="G11" i="39" s="1"/>
  <c r="C9" i="39"/>
  <c r="G9" i="39" s="1"/>
  <c r="C24" i="41"/>
  <c r="G24" i="41" s="1"/>
  <c r="C24" i="40"/>
  <c r="G24" i="40" s="1"/>
  <c r="C24" i="38"/>
  <c r="G24" i="38" s="1"/>
  <c r="C24" i="39"/>
  <c r="G24" i="39" s="1"/>
  <c r="C30" i="39"/>
  <c r="G30" i="39" s="1"/>
  <c r="C30" i="41"/>
  <c r="G30" i="41" s="1"/>
  <c r="C30" i="40"/>
  <c r="G30" i="40" s="1"/>
  <c r="C30" i="38"/>
  <c r="G30" i="38" s="1"/>
  <c r="C34" i="41"/>
  <c r="G34" i="41" s="1"/>
  <c r="C34" i="40"/>
  <c r="G34" i="40" s="1"/>
  <c r="C34" i="38"/>
  <c r="G34" i="38" s="1"/>
  <c r="C34" i="39"/>
  <c r="G34" i="39" s="1"/>
  <c r="C44" i="41"/>
  <c r="G44" i="41" s="1"/>
  <c r="C42" i="41"/>
  <c r="G42" i="41" s="1"/>
  <c r="C40" i="41"/>
  <c r="G40" i="41" s="1"/>
  <c r="C37" i="41"/>
  <c r="G37" i="41" s="1"/>
  <c r="C45" i="41"/>
  <c r="G45" i="41" s="1"/>
  <c r="C41" i="41"/>
  <c r="G41" i="41" s="1"/>
  <c r="C38" i="41"/>
  <c r="G38" i="41" s="1"/>
  <c r="C44" i="40"/>
  <c r="G44" i="40" s="1"/>
  <c r="C42" i="40"/>
  <c r="G42" i="40" s="1"/>
  <c r="C40" i="40"/>
  <c r="G40" i="40" s="1"/>
  <c r="C37" i="40"/>
  <c r="G37" i="40" s="1"/>
  <c r="C45" i="39"/>
  <c r="G45" i="39" s="1"/>
  <c r="C43" i="39"/>
  <c r="G43" i="39" s="1"/>
  <c r="C41" i="39"/>
  <c r="G41" i="39" s="1"/>
  <c r="C39" i="39"/>
  <c r="G39" i="39" s="1"/>
  <c r="C38" i="39"/>
  <c r="G38" i="39" s="1"/>
  <c r="C44" i="38"/>
  <c r="G44" i="38" s="1"/>
  <c r="C42" i="38"/>
  <c r="G42" i="38" s="1"/>
  <c r="C40" i="38"/>
  <c r="G40" i="38" s="1"/>
  <c r="C37" i="38"/>
  <c r="G37" i="38" s="1"/>
  <c r="C43" i="41"/>
  <c r="G43" i="41" s="1"/>
  <c r="C39" i="41"/>
  <c r="G39" i="41" s="1"/>
  <c r="C45" i="40"/>
  <c r="G45" i="40" s="1"/>
  <c r="C43" i="40"/>
  <c r="G43" i="40" s="1"/>
  <c r="C41" i="40"/>
  <c r="G41" i="40" s="1"/>
  <c r="C39" i="40"/>
  <c r="G39" i="40" s="1"/>
  <c r="C38" i="40"/>
  <c r="G38" i="40" s="1"/>
  <c r="C44" i="39"/>
  <c r="G44" i="39" s="1"/>
  <c r="C42" i="39"/>
  <c r="G42" i="39" s="1"/>
  <c r="C40" i="39"/>
  <c r="G40" i="39" s="1"/>
  <c r="C37" i="39"/>
  <c r="G37" i="39" s="1"/>
  <c r="C45" i="38"/>
  <c r="G45" i="38" s="1"/>
  <c r="C41" i="38"/>
  <c r="G41" i="38" s="1"/>
  <c r="C38" i="38"/>
  <c r="G38" i="38" s="1"/>
  <c r="C43" i="38"/>
  <c r="G43" i="38" s="1"/>
  <c r="C39" i="38"/>
  <c r="G39" i="38" s="1"/>
  <c r="H38" i="38" l="1"/>
  <c r="J38" i="38" s="1"/>
  <c r="H44" i="39"/>
  <c r="J44" i="39"/>
  <c r="H39" i="41"/>
  <c r="J39" i="41"/>
  <c r="H38" i="39"/>
  <c r="J38" i="39"/>
  <c r="H40" i="40"/>
  <c r="J40" i="40" s="1"/>
  <c r="H37" i="41"/>
  <c r="J37" i="41" s="1"/>
  <c r="H34" i="40"/>
  <c r="J34" i="40" s="1"/>
  <c r="H30" i="41"/>
  <c r="J30" i="41"/>
  <c r="H24" i="39"/>
  <c r="J24" i="39"/>
  <c r="H9" i="39"/>
  <c r="J9" i="39" s="1"/>
  <c r="H13" i="39"/>
  <c r="J13" i="39" s="1"/>
  <c r="H8" i="38"/>
  <c r="J8" i="38"/>
  <c r="H12" i="39"/>
  <c r="J12" i="39" s="1"/>
  <c r="H16" i="39"/>
  <c r="J16" i="39" s="1"/>
  <c r="H9" i="38"/>
  <c r="J9" i="38"/>
  <c r="H11" i="38"/>
  <c r="J11" i="38"/>
  <c r="H13" i="38"/>
  <c r="J13" i="38"/>
  <c r="H15" i="38"/>
  <c r="J15" i="38"/>
  <c r="H8" i="39"/>
  <c r="J8" i="39" s="1"/>
  <c r="H10" i="40"/>
  <c r="J10" i="40"/>
  <c r="H12" i="40"/>
  <c r="J12" i="40"/>
  <c r="H14" i="40"/>
  <c r="J14" i="40"/>
  <c r="H16" i="40"/>
  <c r="J16" i="40"/>
  <c r="H9" i="41"/>
  <c r="J9" i="41"/>
  <c r="H11" i="41"/>
  <c r="J11" i="41"/>
  <c r="H13" i="41"/>
  <c r="J13" i="41"/>
  <c r="H15" i="41"/>
  <c r="J15" i="41"/>
  <c r="I9" i="20"/>
  <c r="J9" i="20"/>
  <c r="I24" i="30"/>
  <c r="J24" i="30"/>
  <c r="I24" i="19"/>
  <c r="J24" i="19" s="1"/>
  <c r="I24" i="33"/>
  <c r="K24" i="33" s="1"/>
  <c r="I24" i="35"/>
  <c r="K24" i="35" s="1"/>
  <c r="I7" i="20"/>
  <c r="J7" i="20"/>
  <c r="I21" i="30"/>
  <c r="J21" i="30" s="1"/>
  <c r="I21" i="32"/>
  <c r="K21" i="32" s="1"/>
  <c r="I21" i="34"/>
  <c r="K21" i="34"/>
  <c r="I17" i="19"/>
  <c r="J17" i="19"/>
  <c r="I17" i="30"/>
  <c r="J17" i="30" s="1"/>
  <c r="I17" i="33"/>
  <c r="K17" i="33"/>
  <c r="I17" i="34"/>
  <c r="K17" i="34"/>
  <c r="D14" i="35"/>
  <c r="H14" i="35" s="1"/>
  <c r="D13" i="35"/>
  <c r="H13" i="35" s="1"/>
  <c r="D11" i="35"/>
  <c r="H11" i="35" s="1"/>
  <c r="D9" i="35"/>
  <c r="H9" i="35" s="1"/>
  <c r="D8" i="35"/>
  <c r="H8" i="35" s="1"/>
  <c r="D7" i="35"/>
  <c r="H7" i="35" s="1"/>
  <c r="D13" i="34"/>
  <c r="H13" i="34" s="1"/>
  <c r="D11" i="34"/>
  <c r="H11" i="34" s="1"/>
  <c r="D9" i="34"/>
  <c r="H9" i="34" s="1"/>
  <c r="D7" i="34"/>
  <c r="H7" i="34" s="1"/>
  <c r="D10" i="35"/>
  <c r="H10" i="35" s="1"/>
  <c r="D14" i="34"/>
  <c r="H14" i="34" s="1"/>
  <c r="D10" i="34"/>
  <c r="H10" i="34" s="1"/>
  <c r="D6" i="34"/>
  <c r="H6" i="34" s="1"/>
  <c r="D12" i="35"/>
  <c r="H12" i="35" s="1"/>
  <c r="D8" i="34"/>
  <c r="H8" i="34" s="1"/>
  <c r="D13" i="33"/>
  <c r="H13" i="33" s="1"/>
  <c r="D11" i="33"/>
  <c r="H11" i="33" s="1"/>
  <c r="D9" i="33"/>
  <c r="H9" i="33" s="1"/>
  <c r="D7" i="33"/>
  <c r="H7" i="33" s="1"/>
  <c r="D6" i="33"/>
  <c r="H6" i="33" s="1"/>
  <c r="D6" i="35"/>
  <c r="H6" i="35" s="1"/>
  <c r="D12" i="34"/>
  <c r="H12" i="34" s="1"/>
  <c r="D12" i="33"/>
  <c r="H12" i="33" s="1"/>
  <c r="D8" i="33"/>
  <c r="H8" i="33" s="1"/>
  <c r="D14" i="32"/>
  <c r="H14" i="32" s="1"/>
  <c r="D12" i="32"/>
  <c r="H12" i="32" s="1"/>
  <c r="D10" i="32"/>
  <c r="H10" i="32" s="1"/>
  <c r="D8" i="32"/>
  <c r="H8" i="32" s="1"/>
  <c r="D14" i="33"/>
  <c r="H14" i="33" s="1"/>
  <c r="D13" i="32"/>
  <c r="H13" i="32" s="1"/>
  <c r="D9" i="32"/>
  <c r="H9" i="32" s="1"/>
  <c r="D6" i="32"/>
  <c r="H6" i="32" s="1"/>
  <c r="D10" i="33"/>
  <c r="H10" i="33" s="1"/>
  <c r="D11" i="32"/>
  <c r="H11" i="32" s="1"/>
  <c r="D7" i="32"/>
  <c r="H7" i="32" s="1"/>
  <c r="D14" i="31"/>
  <c r="H14" i="31" s="1"/>
  <c r="D12" i="31"/>
  <c r="H12" i="31" s="1"/>
  <c r="D10" i="31"/>
  <c r="H10" i="31" s="1"/>
  <c r="D8" i="31"/>
  <c r="H8" i="31" s="1"/>
  <c r="D14" i="30"/>
  <c r="H14" i="30" s="1"/>
  <c r="D12" i="30"/>
  <c r="H12" i="30" s="1"/>
  <c r="D9" i="30"/>
  <c r="H9" i="30" s="1"/>
  <c r="D7" i="30"/>
  <c r="H7" i="30" s="1"/>
  <c r="D6" i="30"/>
  <c r="H6" i="30" s="1"/>
  <c r="D13" i="19"/>
  <c r="H13" i="19" s="1"/>
  <c r="D11" i="19"/>
  <c r="H11" i="19" s="1"/>
  <c r="D9" i="19"/>
  <c r="H9" i="19" s="1"/>
  <c r="D7" i="19"/>
  <c r="H7" i="19" s="1"/>
  <c r="D6" i="19"/>
  <c r="H6" i="19" s="1"/>
  <c r="D13" i="31"/>
  <c r="H13" i="31" s="1"/>
  <c r="D11" i="31"/>
  <c r="H11" i="31" s="1"/>
  <c r="D9" i="31"/>
  <c r="H9" i="31" s="1"/>
  <c r="D7" i="31"/>
  <c r="H7" i="31" s="1"/>
  <c r="D6" i="31"/>
  <c r="H6" i="31" s="1"/>
  <c r="D13" i="30"/>
  <c r="H13" i="30" s="1"/>
  <c r="D11" i="30"/>
  <c r="H11" i="30" s="1"/>
  <c r="D10" i="30"/>
  <c r="D8" i="30"/>
  <c r="H8" i="30" s="1"/>
  <c r="D14" i="22"/>
  <c r="H14" i="22" s="1"/>
  <c r="D13" i="22"/>
  <c r="H13" i="22" s="1"/>
  <c r="D12" i="22"/>
  <c r="H12" i="22" s="1"/>
  <c r="D11" i="22"/>
  <c r="H11" i="22" s="1"/>
  <c r="D10" i="22"/>
  <c r="H10" i="22" s="1"/>
  <c r="D9" i="22"/>
  <c r="H9" i="22" s="1"/>
  <c r="D8" i="22"/>
  <c r="H8" i="22" s="1"/>
  <c r="D14" i="19"/>
  <c r="H14" i="19" s="1"/>
  <c r="D12" i="19"/>
  <c r="H12" i="19" s="1"/>
  <c r="D10" i="19"/>
  <c r="H10" i="19" s="1"/>
  <c r="D8" i="19"/>
  <c r="H8" i="19" s="1"/>
  <c r="I33" i="19"/>
  <c r="J33" i="19" s="1"/>
  <c r="I35" i="19"/>
  <c r="J35" i="19" s="1"/>
  <c r="I37" i="19"/>
  <c r="J37" i="19" s="1"/>
  <c r="I39" i="19"/>
  <c r="J39" i="19" s="1"/>
  <c r="I18" i="20"/>
  <c r="J18" i="20" s="1"/>
  <c r="I20" i="20"/>
  <c r="J20" i="20" s="1"/>
  <c r="I22" i="20"/>
  <c r="J22" i="20" s="1"/>
  <c r="I24" i="20"/>
  <c r="J24" i="20" s="1"/>
  <c r="I32" i="30"/>
  <c r="J32" i="30"/>
  <c r="I32" i="19"/>
  <c r="J32" i="19" s="1"/>
  <c r="I34" i="22"/>
  <c r="J34" i="22"/>
  <c r="I36" i="22"/>
  <c r="J36" i="22"/>
  <c r="I38" i="22"/>
  <c r="J38" i="22"/>
  <c r="I40" i="22"/>
  <c r="J40" i="22"/>
  <c r="I34" i="30"/>
  <c r="J34" i="30"/>
  <c r="I36" i="30"/>
  <c r="J36" i="30"/>
  <c r="I38" i="30"/>
  <c r="J38" i="30"/>
  <c r="I40" i="30"/>
  <c r="J40" i="30"/>
  <c r="I34" i="31"/>
  <c r="K34" i="31"/>
  <c r="I36" i="31"/>
  <c r="K36" i="31"/>
  <c r="I38" i="31"/>
  <c r="K38" i="31"/>
  <c r="I40" i="31"/>
  <c r="K40" i="31"/>
  <c r="I34" i="33"/>
  <c r="K34" i="33" s="1"/>
  <c r="I33" i="34"/>
  <c r="K33" i="34" s="1"/>
  <c r="I40" i="33"/>
  <c r="K40" i="33" s="1"/>
  <c r="I34" i="32"/>
  <c r="K34" i="32"/>
  <c r="I36" i="32"/>
  <c r="K36" i="32"/>
  <c r="I33" i="33"/>
  <c r="K33" i="33" s="1"/>
  <c r="I37" i="33"/>
  <c r="K37" i="33" s="1"/>
  <c r="I37" i="34"/>
  <c r="K37" i="34" s="1"/>
  <c r="I39" i="32"/>
  <c r="K39" i="32"/>
  <c r="I32" i="33"/>
  <c r="K32" i="33" s="1"/>
  <c r="I39" i="34"/>
  <c r="K39" i="34" s="1"/>
  <c r="I36" i="34"/>
  <c r="K36" i="34" s="1"/>
  <c r="I40" i="34"/>
  <c r="K40" i="34" s="1"/>
  <c r="I34" i="35"/>
  <c r="K34" i="35" s="1"/>
  <c r="I38" i="35"/>
  <c r="K38" i="35" s="1"/>
  <c r="I33" i="35"/>
  <c r="K33" i="35" s="1"/>
  <c r="I37" i="35"/>
  <c r="K37" i="35" s="1"/>
  <c r="I32" i="35"/>
  <c r="K32" i="35" s="1"/>
  <c r="I30" i="22"/>
  <c r="J30" i="22" s="1"/>
  <c r="I29" i="30"/>
  <c r="J29" i="30"/>
  <c r="I29" i="32"/>
  <c r="K29" i="32"/>
  <c r="I29" i="34"/>
  <c r="K29" i="34" s="1"/>
  <c r="H29" i="39"/>
  <c r="J29" i="39"/>
  <c r="H29" i="40"/>
  <c r="J29" i="40" s="1"/>
  <c r="H19" i="39"/>
  <c r="J19" i="39"/>
  <c r="H19" i="40"/>
  <c r="J19" i="40" s="1"/>
  <c r="H49" i="38"/>
  <c r="J49" i="38"/>
  <c r="H49" i="39"/>
  <c r="J49" i="39" s="1"/>
  <c r="I44" i="22"/>
  <c r="J44" i="22"/>
  <c r="I44" i="19"/>
  <c r="J44" i="19" s="1"/>
  <c r="I44" i="32"/>
  <c r="K44" i="32"/>
  <c r="I44" i="34"/>
  <c r="K44" i="34" s="1"/>
  <c r="H46" i="39"/>
  <c r="J46" i="39"/>
  <c r="H46" i="40"/>
  <c r="J46" i="40" s="1"/>
  <c r="C64" i="37"/>
  <c r="G64" i="37" s="1"/>
  <c r="I64" i="37" s="1"/>
  <c r="J64" i="37" s="1"/>
  <c r="C66" i="37"/>
  <c r="G66" i="37" s="1"/>
  <c r="I66" i="37" s="1"/>
  <c r="J66" i="37" s="1"/>
  <c r="C68" i="37"/>
  <c r="G68" i="37" s="1"/>
  <c r="I68" i="37" s="1"/>
  <c r="J68" i="37" s="1"/>
  <c r="C65" i="37"/>
  <c r="G65" i="37" s="1"/>
  <c r="I65" i="37" s="1"/>
  <c r="J65" i="37" s="1"/>
  <c r="C67" i="37"/>
  <c r="G67" i="37" s="1"/>
  <c r="I67" i="37" s="1"/>
  <c r="J67" i="37" s="1"/>
  <c r="C69" i="37"/>
  <c r="G69" i="37" s="1"/>
  <c r="I69" i="37" s="1"/>
  <c r="J69" i="37" s="1"/>
  <c r="G63" i="37"/>
  <c r="I63" i="37" s="1"/>
  <c r="J63" i="37" s="1"/>
  <c r="J50" i="39"/>
  <c r="H50" i="39"/>
  <c r="H50" i="40"/>
  <c r="J50" i="40" s="1"/>
  <c r="H48" i="39"/>
  <c r="J48" i="39" s="1"/>
  <c r="J48" i="40"/>
  <c r="H48" i="40"/>
  <c r="K45" i="31"/>
  <c r="I45" i="31"/>
  <c r="I29" i="20"/>
  <c r="J29" i="20" s="1"/>
  <c r="K45" i="32"/>
  <c r="I45" i="32"/>
  <c r="I45" i="34"/>
  <c r="K45" i="34" s="1"/>
  <c r="I41" i="22"/>
  <c r="J41" i="22" s="1"/>
  <c r="I41" i="31"/>
  <c r="K41" i="31" s="1"/>
  <c r="J25" i="20"/>
  <c r="I25" i="20"/>
  <c r="I41" i="33"/>
  <c r="K41" i="33" s="1"/>
  <c r="K41" i="35"/>
  <c r="I41" i="35"/>
  <c r="I6" i="20"/>
  <c r="J6" i="20" s="1"/>
  <c r="J20" i="30"/>
  <c r="I20" i="30"/>
  <c r="I20" i="34"/>
  <c r="K20" i="34" s="1"/>
  <c r="I20" i="33"/>
  <c r="K20" i="33" s="1"/>
  <c r="H47" i="38"/>
  <c r="J47" i="38" s="1"/>
  <c r="H47" i="41"/>
  <c r="J47" i="41" s="1"/>
  <c r="H35" i="38"/>
  <c r="J35" i="38" s="1"/>
  <c r="H35" i="41"/>
  <c r="J35" i="41" s="1"/>
  <c r="H26" i="39"/>
  <c r="J26" i="39" s="1"/>
  <c r="J26" i="40"/>
  <c r="H26" i="40"/>
  <c r="H27" i="38"/>
  <c r="J27" i="38" s="1"/>
  <c r="J27" i="39"/>
  <c r="H27" i="39"/>
  <c r="H18" i="38"/>
  <c r="J18" i="38" s="1"/>
  <c r="H18" i="41"/>
  <c r="J18" i="41" s="1"/>
  <c r="I26" i="22"/>
  <c r="J26" i="22" s="1"/>
  <c r="I25" i="31"/>
  <c r="K25" i="31" s="1"/>
  <c r="J10" i="20"/>
  <c r="I10" i="20"/>
  <c r="K25" i="33"/>
  <c r="I25" i="33"/>
  <c r="K25" i="35"/>
  <c r="I25" i="35"/>
  <c r="J22" i="30"/>
  <c r="I22" i="30"/>
  <c r="I22" i="34"/>
  <c r="K22" i="34" s="1"/>
  <c r="I22" i="33"/>
  <c r="K22" i="33" s="1"/>
  <c r="I18" i="19"/>
  <c r="J18" i="19" s="1"/>
  <c r="J18" i="30"/>
  <c r="I18" i="30"/>
  <c r="I18" i="34"/>
  <c r="K18" i="34" s="1"/>
  <c r="I18" i="33"/>
  <c r="K18" i="33" s="1"/>
  <c r="I16" i="19"/>
  <c r="J16" i="19" s="1"/>
  <c r="J16" i="30"/>
  <c r="I16" i="30"/>
  <c r="K16" i="32"/>
  <c r="I16" i="32"/>
  <c r="I16" i="34"/>
  <c r="K16" i="34" s="1"/>
  <c r="I42" i="22"/>
  <c r="J42" i="22" s="1"/>
  <c r="J42" i="19"/>
  <c r="I42" i="19"/>
  <c r="I42" i="32"/>
  <c r="K42" i="32" s="1"/>
  <c r="K42" i="34"/>
  <c r="I42" i="34"/>
  <c r="I15" i="20"/>
  <c r="J15" i="20" s="1"/>
  <c r="I30" i="31"/>
  <c r="K30" i="31" s="1"/>
  <c r="J31" i="22"/>
  <c r="I31" i="22"/>
  <c r="K30" i="33"/>
  <c r="I30" i="33"/>
  <c r="K30" i="35"/>
  <c r="I30" i="35"/>
  <c r="I5" i="20"/>
  <c r="H30" i="20"/>
  <c r="J5" i="20"/>
  <c r="I19" i="30"/>
  <c r="J19" i="30" s="1"/>
  <c r="I19" i="32"/>
  <c r="K19" i="32" s="1"/>
  <c r="I19" i="34"/>
  <c r="K19" i="34"/>
  <c r="H25" i="38"/>
  <c r="J25" i="38"/>
  <c r="H25" i="41"/>
  <c r="J25" i="41"/>
  <c r="H17" i="39"/>
  <c r="J17" i="39"/>
  <c r="H17" i="40"/>
  <c r="J17" i="40" s="1"/>
  <c r="H32" i="38"/>
  <c r="J32" i="38"/>
  <c r="H32" i="39"/>
  <c r="J32" i="39" s="1"/>
  <c r="I28" i="22"/>
  <c r="J28" i="22"/>
  <c r="I27" i="31"/>
  <c r="K27" i="31"/>
  <c r="I12" i="20"/>
  <c r="J12" i="20" s="1"/>
  <c r="I27" i="33"/>
  <c r="K27" i="33" s="1"/>
  <c r="I27" i="35"/>
  <c r="K27" i="35" s="1"/>
  <c r="H53" i="39"/>
  <c r="J53" i="39" s="1"/>
  <c r="H55" i="39"/>
  <c r="J55" i="39" s="1"/>
  <c r="H57" i="39"/>
  <c r="J57" i="39" s="1"/>
  <c r="H59" i="39"/>
  <c r="J59" i="39" s="1"/>
  <c r="H52" i="40"/>
  <c r="J52" i="40"/>
  <c r="H60" i="40"/>
  <c r="J60" i="40" s="1"/>
  <c r="H54" i="38"/>
  <c r="J54" i="38"/>
  <c r="H56" i="38"/>
  <c r="J56" i="38"/>
  <c r="H58" i="38"/>
  <c r="J58" i="38"/>
  <c r="H60" i="38"/>
  <c r="J60" i="38"/>
  <c r="H53" i="40"/>
  <c r="J53" i="40"/>
  <c r="H55" i="40"/>
  <c r="J55" i="40"/>
  <c r="H57" i="40"/>
  <c r="J57" i="40" s="1"/>
  <c r="H52" i="41"/>
  <c r="J52" i="41"/>
  <c r="H54" i="41"/>
  <c r="J54" i="41"/>
  <c r="H56" i="41"/>
  <c r="J56" i="41"/>
  <c r="H58" i="41"/>
  <c r="J58" i="41"/>
  <c r="H60" i="41"/>
  <c r="J60" i="41"/>
  <c r="H20" i="40"/>
  <c r="J20" i="40"/>
  <c r="H20" i="41"/>
  <c r="J20" i="41"/>
  <c r="I43" i="31"/>
  <c r="K43" i="31"/>
  <c r="I27" i="20"/>
  <c r="J27" i="20" s="1"/>
  <c r="I43" i="33"/>
  <c r="K43" i="33"/>
  <c r="I43" i="35"/>
  <c r="K43" i="35" s="1"/>
  <c r="I27" i="22"/>
  <c r="J27" i="22"/>
  <c r="I26" i="31"/>
  <c r="K26" i="31"/>
  <c r="I26" i="32"/>
  <c r="K26" i="32"/>
  <c r="I26" i="34"/>
  <c r="K26" i="34" s="1"/>
  <c r="I15" i="19"/>
  <c r="J15" i="19"/>
  <c r="I15" i="30"/>
  <c r="J15" i="30" s="1"/>
  <c r="I15" i="33"/>
  <c r="K15" i="33"/>
  <c r="I15" i="34"/>
  <c r="K15" i="34"/>
  <c r="H31" i="39"/>
  <c r="J31" i="39"/>
  <c r="H31" i="40"/>
  <c r="J31" i="40" s="1"/>
  <c r="H39" i="38"/>
  <c r="J39" i="38"/>
  <c r="H45" i="38"/>
  <c r="J45" i="38"/>
  <c r="H40" i="39"/>
  <c r="J40" i="39"/>
  <c r="H39" i="40"/>
  <c r="J39" i="40"/>
  <c r="H43" i="40"/>
  <c r="J43" i="40"/>
  <c r="H37" i="38"/>
  <c r="J37" i="38" s="1"/>
  <c r="H42" i="38"/>
  <c r="J42" i="38" s="1"/>
  <c r="H41" i="39"/>
  <c r="J41" i="39" s="1"/>
  <c r="H45" i="39"/>
  <c r="J45" i="39" s="1"/>
  <c r="H44" i="40"/>
  <c r="J44" i="40" s="1"/>
  <c r="H41" i="41"/>
  <c r="J41" i="41"/>
  <c r="H42" i="41"/>
  <c r="J42" i="41" s="1"/>
  <c r="H34" i="39"/>
  <c r="J34" i="39"/>
  <c r="H30" i="38"/>
  <c r="J30" i="38"/>
  <c r="H24" i="40"/>
  <c r="J24" i="40" s="1"/>
  <c r="H43" i="38"/>
  <c r="J43" i="38"/>
  <c r="H41" i="38"/>
  <c r="J41" i="38"/>
  <c r="H37" i="39"/>
  <c r="J37" i="39"/>
  <c r="H42" i="39"/>
  <c r="J42" i="39"/>
  <c r="H38" i="40"/>
  <c r="J38" i="40" s="1"/>
  <c r="H41" i="40"/>
  <c r="J41" i="40"/>
  <c r="H45" i="40"/>
  <c r="J45" i="40"/>
  <c r="H43" i="41"/>
  <c r="J43" i="41"/>
  <c r="H40" i="38"/>
  <c r="J40" i="38" s="1"/>
  <c r="H44" i="38"/>
  <c r="J44" i="38" s="1"/>
  <c r="H39" i="39"/>
  <c r="J39" i="39" s="1"/>
  <c r="H43" i="39"/>
  <c r="J43" i="39" s="1"/>
  <c r="H37" i="40"/>
  <c r="J37" i="40" s="1"/>
  <c r="H42" i="40"/>
  <c r="J42" i="40" s="1"/>
  <c r="H38" i="41"/>
  <c r="J38" i="41" s="1"/>
  <c r="H45" i="41"/>
  <c r="J45" i="41"/>
  <c r="H40" i="41"/>
  <c r="J40" i="41" s="1"/>
  <c r="H44" i="41"/>
  <c r="J44" i="41" s="1"/>
  <c r="H34" i="38"/>
  <c r="J34" i="38" s="1"/>
  <c r="H34" i="41"/>
  <c r="J34" i="41" s="1"/>
  <c r="H30" i="40"/>
  <c r="J30" i="40"/>
  <c r="H30" i="39"/>
  <c r="J30" i="39" s="1"/>
  <c r="H24" i="38"/>
  <c r="J24" i="38" s="1"/>
  <c r="H24" i="41"/>
  <c r="J24" i="41" s="1"/>
  <c r="H11" i="39"/>
  <c r="J11" i="39" s="1"/>
  <c r="H15" i="39"/>
  <c r="J15" i="39" s="1"/>
  <c r="H10" i="39"/>
  <c r="J10" i="39" s="1"/>
  <c r="H14" i="39"/>
  <c r="J14" i="39" s="1"/>
  <c r="H8" i="40"/>
  <c r="J8" i="40"/>
  <c r="H10" i="38"/>
  <c r="J10" i="38"/>
  <c r="H12" i="38"/>
  <c r="J12" i="38"/>
  <c r="H14" i="38"/>
  <c r="J14" i="38"/>
  <c r="H16" i="38"/>
  <c r="J16" i="38"/>
  <c r="H9" i="40"/>
  <c r="J9" i="40"/>
  <c r="H11" i="40"/>
  <c r="J11" i="40"/>
  <c r="H13" i="40"/>
  <c r="J13" i="40"/>
  <c r="H15" i="40"/>
  <c r="J15" i="40"/>
  <c r="H8" i="41"/>
  <c r="J8" i="41"/>
  <c r="H10" i="41"/>
  <c r="J10" i="41"/>
  <c r="H12" i="41"/>
  <c r="J12" i="41"/>
  <c r="H14" i="41"/>
  <c r="J14" i="41"/>
  <c r="H16" i="41"/>
  <c r="J16" i="41"/>
  <c r="I25" i="22"/>
  <c r="J25" i="22"/>
  <c r="I24" i="31"/>
  <c r="K24" i="31"/>
  <c r="I24" i="32"/>
  <c r="K24" i="32"/>
  <c r="I24" i="34"/>
  <c r="K24" i="34" s="1"/>
  <c r="I21" i="19"/>
  <c r="J21" i="19"/>
  <c r="I23" i="22"/>
  <c r="J23" i="22"/>
  <c r="I21" i="31"/>
  <c r="K21" i="31" s="1"/>
  <c r="I21" i="33"/>
  <c r="K21" i="33"/>
  <c r="I21" i="35"/>
  <c r="K21" i="35"/>
  <c r="I17" i="22"/>
  <c r="J17" i="22"/>
  <c r="I17" i="31"/>
  <c r="K17" i="31" s="1"/>
  <c r="I17" i="32"/>
  <c r="K17" i="32" s="1"/>
  <c r="I17" i="35"/>
  <c r="K17" i="35"/>
  <c r="I7" i="22"/>
  <c r="J7" i="22"/>
  <c r="I34" i="19"/>
  <c r="J34" i="19" s="1"/>
  <c r="I36" i="19"/>
  <c r="J36" i="19" s="1"/>
  <c r="I38" i="19"/>
  <c r="J38" i="19" s="1"/>
  <c r="I40" i="19"/>
  <c r="J40" i="19" s="1"/>
  <c r="I19" i="20"/>
  <c r="J19" i="20" s="1"/>
  <c r="I21" i="20"/>
  <c r="J21" i="20" s="1"/>
  <c r="I23" i="20"/>
  <c r="J23" i="20" s="1"/>
  <c r="I33" i="22"/>
  <c r="J33" i="22"/>
  <c r="I32" i="31"/>
  <c r="K32" i="31"/>
  <c r="I17" i="20"/>
  <c r="J17" i="20" s="1"/>
  <c r="I35" i="22"/>
  <c r="J35" i="22"/>
  <c r="I37" i="22"/>
  <c r="J37" i="22"/>
  <c r="I39" i="22"/>
  <c r="J39" i="22"/>
  <c r="I33" i="30"/>
  <c r="J33" i="30"/>
  <c r="I35" i="30"/>
  <c r="J35" i="30"/>
  <c r="I37" i="30"/>
  <c r="J37" i="30"/>
  <c r="I39" i="30"/>
  <c r="J39" i="30"/>
  <c r="I33" i="31"/>
  <c r="K33" i="31"/>
  <c r="I35" i="31"/>
  <c r="K35" i="31"/>
  <c r="I37" i="31"/>
  <c r="K37" i="31"/>
  <c r="I39" i="31"/>
  <c r="K39" i="31"/>
  <c r="I32" i="32"/>
  <c r="K32" i="32"/>
  <c r="I38" i="33"/>
  <c r="K38" i="33" s="1"/>
  <c r="I36" i="33"/>
  <c r="K36" i="33" s="1"/>
  <c r="I33" i="32"/>
  <c r="K33" i="32"/>
  <c r="I35" i="32"/>
  <c r="K35" i="32"/>
  <c r="I37" i="32"/>
  <c r="K37" i="32"/>
  <c r="I35" i="33"/>
  <c r="K35" i="33" s="1"/>
  <c r="I39" i="33"/>
  <c r="K39" i="33" s="1"/>
  <c r="I38" i="32"/>
  <c r="K38" i="32"/>
  <c r="I40" i="32"/>
  <c r="K40" i="32"/>
  <c r="I35" i="34"/>
  <c r="K35" i="34" s="1"/>
  <c r="I34" i="34"/>
  <c r="K34" i="34" s="1"/>
  <c r="I38" i="34"/>
  <c r="K38" i="34" s="1"/>
  <c r="I32" i="34"/>
  <c r="K32" i="34" s="1"/>
  <c r="I36" i="35"/>
  <c r="K36" i="35" s="1"/>
  <c r="I40" i="35"/>
  <c r="K40" i="35" s="1"/>
  <c r="I35" i="35"/>
  <c r="K35" i="35" s="1"/>
  <c r="I39" i="35"/>
  <c r="K39" i="35" s="1"/>
  <c r="I29" i="19"/>
  <c r="J29" i="19" s="1"/>
  <c r="I14" i="20"/>
  <c r="J14" i="20"/>
  <c r="I29" i="31"/>
  <c r="K29" i="31"/>
  <c r="I29" i="33"/>
  <c r="K29" i="33" s="1"/>
  <c r="I29" i="35"/>
  <c r="K29" i="35" s="1"/>
  <c r="H29" i="38"/>
  <c r="J29" i="38" s="1"/>
  <c r="H29" i="41"/>
  <c r="J29" i="41" s="1"/>
  <c r="H19" i="38"/>
  <c r="J19" i="38" s="1"/>
  <c r="H19" i="41"/>
  <c r="J19" i="41" s="1"/>
  <c r="H49" i="40"/>
  <c r="J49" i="40"/>
  <c r="H49" i="41"/>
  <c r="J49" i="41"/>
  <c r="I44" i="31"/>
  <c r="K44" i="31"/>
  <c r="I28" i="20"/>
  <c r="J28" i="20" s="1"/>
  <c r="I44" i="33"/>
  <c r="K44" i="33"/>
  <c r="I44" i="35"/>
  <c r="K44" i="35" s="1"/>
  <c r="H46" i="38"/>
  <c r="J46" i="38" s="1"/>
  <c r="H46" i="41"/>
  <c r="J46" i="41" s="1"/>
  <c r="I37" i="37"/>
  <c r="J37" i="37"/>
  <c r="H50" i="38"/>
  <c r="J50" i="38"/>
  <c r="H50" i="41"/>
  <c r="J50" i="41"/>
  <c r="H48" i="38"/>
  <c r="J48" i="38" s="1"/>
  <c r="H48" i="41"/>
  <c r="J48" i="41" s="1"/>
  <c r="I45" i="19"/>
  <c r="J45" i="19"/>
  <c r="I45" i="22"/>
  <c r="J45" i="22"/>
  <c r="I45" i="33"/>
  <c r="K45" i="33" s="1"/>
  <c r="I45" i="35"/>
  <c r="K45" i="35" s="1"/>
  <c r="I41" i="30"/>
  <c r="J41" i="30"/>
  <c r="I41" i="19"/>
  <c r="J41" i="19" s="1"/>
  <c r="I41" i="32"/>
  <c r="K41" i="32"/>
  <c r="I41" i="34"/>
  <c r="K41" i="34" s="1"/>
  <c r="I20" i="19"/>
  <c r="J20" i="19"/>
  <c r="I22" i="22"/>
  <c r="J22" i="22"/>
  <c r="I20" i="31"/>
  <c r="K20" i="31" s="1"/>
  <c r="I20" i="32"/>
  <c r="K20" i="32" s="1"/>
  <c r="I20" i="35"/>
  <c r="K20" i="35"/>
  <c r="H47" i="40"/>
  <c r="J47" i="40"/>
  <c r="H47" i="39"/>
  <c r="J47" i="39" s="1"/>
  <c r="H35" i="40"/>
  <c r="J35" i="40"/>
  <c r="H35" i="39"/>
  <c r="J35" i="39" s="1"/>
  <c r="H26" i="38"/>
  <c r="J26" i="38" s="1"/>
  <c r="H26" i="41"/>
  <c r="J26" i="41" s="1"/>
  <c r="H27" i="40"/>
  <c r="J27" i="40"/>
  <c r="H27" i="41"/>
  <c r="J27" i="41"/>
  <c r="H18" i="40"/>
  <c r="J18" i="40"/>
  <c r="H18" i="39"/>
  <c r="J18" i="39" s="1"/>
  <c r="I25" i="30"/>
  <c r="J25" i="30"/>
  <c r="I25" i="19"/>
  <c r="J25" i="19" s="1"/>
  <c r="I25" i="32"/>
  <c r="K25" i="32"/>
  <c r="I25" i="34"/>
  <c r="K25" i="34" s="1"/>
  <c r="I22" i="19"/>
  <c r="J22" i="19"/>
  <c r="I22" i="31"/>
  <c r="K22" i="31" s="1"/>
  <c r="I22" i="32"/>
  <c r="K22" i="32" s="1"/>
  <c r="I22" i="35"/>
  <c r="K22" i="35"/>
  <c r="I18" i="22"/>
  <c r="J18" i="22"/>
  <c r="I18" i="31"/>
  <c r="K18" i="31" s="1"/>
  <c r="I18" i="32"/>
  <c r="K18" i="32" s="1"/>
  <c r="I18" i="35"/>
  <c r="K18" i="35"/>
  <c r="I16" i="22"/>
  <c r="J16" i="22" s="1"/>
  <c r="I16" i="31"/>
  <c r="K16" i="31" s="1"/>
  <c r="I16" i="33"/>
  <c r="K16" i="33"/>
  <c r="I16" i="35"/>
  <c r="K16" i="35"/>
  <c r="I42" i="31"/>
  <c r="K42" i="31"/>
  <c r="I26" i="20"/>
  <c r="J26" i="20" s="1"/>
  <c r="I42" i="33"/>
  <c r="K42" i="33"/>
  <c r="I42" i="35"/>
  <c r="K42" i="35" s="1"/>
  <c r="I30" i="30"/>
  <c r="J30" i="30"/>
  <c r="I30" i="19"/>
  <c r="J30" i="19" s="1"/>
  <c r="I30" i="32"/>
  <c r="K30" i="32"/>
  <c r="I30" i="34"/>
  <c r="K30" i="34" s="1"/>
  <c r="I19" i="19"/>
  <c r="J19" i="19"/>
  <c r="I21" i="22"/>
  <c r="J21" i="22"/>
  <c r="I19" i="31"/>
  <c r="K19" i="31" s="1"/>
  <c r="I19" i="33"/>
  <c r="K19" i="33"/>
  <c r="I19" i="35"/>
  <c r="K19" i="35"/>
  <c r="H25" i="40"/>
  <c r="J25" i="40"/>
  <c r="H25" i="39"/>
  <c r="J25" i="39" s="1"/>
  <c r="H17" i="38"/>
  <c r="J17" i="38" s="1"/>
  <c r="H17" i="41"/>
  <c r="J17" i="41" s="1"/>
  <c r="H32" i="40"/>
  <c r="J32" i="40"/>
  <c r="H32" i="41"/>
  <c r="J32" i="41"/>
  <c r="I27" i="30"/>
  <c r="J27" i="30"/>
  <c r="I27" i="19"/>
  <c r="J27" i="19" s="1"/>
  <c r="I27" i="32"/>
  <c r="K27" i="32"/>
  <c r="I27" i="34"/>
  <c r="K27" i="34" s="1"/>
  <c r="H52" i="38"/>
  <c r="J52" i="38"/>
  <c r="H54" i="39"/>
  <c r="J54" i="39" s="1"/>
  <c r="H56" i="39"/>
  <c r="J56" i="39" s="1"/>
  <c r="H58" i="39"/>
  <c r="J58" i="39" s="1"/>
  <c r="H60" i="39"/>
  <c r="J60" i="39" s="1"/>
  <c r="H58" i="40"/>
  <c r="J58" i="40" s="1"/>
  <c r="H53" i="38"/>
  <c r="J53" i="38"/>
  <c r="H55" i="38"/>
  <c r="J55" i="38"/>
  <c r="H57" i="38"/>
  <c r="J57" i="38"/>
  <c r="H59" i="38"/>
  <c r="J59" i="38"/>
  <c r="H52" i="39"/>
  <c r="J52" i="39" s="1"/>
  <c r="H54" i="40"/>
  <c r="J54" i="40"/>
  <c r="H56" i="40"/>
  <c r="J56" i="40"/>
  <c r="H59" i="40"/>
  <c r="J59" i="40" s="1"/>
  <c r="H53" i="41"/>
  <c r="J53" i="41"/>
  <c r="H55" i="41"/>
  <c r="J55" i="41"/>
  <c r="H57" i="41"/>
  <c r="J57" i="41"/>
  <c r="H59" i="41"/>
  <c r="J59" i="41"/>
  <c r="H20" i="38"/>
  <c r="J20" i="38"/>
  <c r="H20" i="39"/>
  <c r="J20" i="39" s="1"/>
  <c r="I43" i="22"/>
  <c r="J43" i="22"/>
  <c r="I43" i="19"/>
  <c r="J43" i="19" s="1"/>
  <c r="I43" i="32"/>
  <c r="K43" i="32"/>
  <c r="I43" i="34"/>
  <c r="K43" i="34" s="1"/>
  <c r="I11" i="20"/>
  <c r="J11" i="20"/>
  <c r="I26" i="30"/>
  <c r="J26" i="30"/>
  <c r="I26" i="19"/>
  <c r="J26" i="19" s="1"/>
  <c r="I26" i="33"/>
  <c r="K26" i="33" s="1"/>
  <c r="I26" i="35"/>
  <c r="K26" i="35" s="1"/>
  <c r="I15" i="22"/>
  <c r="J15" i="22" s="1"/>
  <c r="I15" i="31"/>
  <c r="K15" i="31" s="1"/>
  <c r="I15" i="32"/>
  <c r="K15" i="32" s="1"/>
  <c r="I15" i="35"/>
  <c r="K15" i="35"/>
  <c r="H31" i="38"/>
  <c r="J31" i="38" s="1"/>
  <c r="H31" i="41"/>
  <c r="J31" i="41" s="1"/>
  <c r="L62" i="39" l="1"/>
  <c r="L7" i="39"/>
  <c r="K7" i="39"/>
  <c r="K62" i="39"/>
  <c r="K44" i="22"/>
  <c r="K7" i="22"/>
  <c r="K45" i="22" s="1"/>
  <c r="L7" i="41"/>
  <c r="L62" i="41"/>
  <c r="K62" i="41"/>
  <c r="K7" i="41"/>
  <c r="L7" i="38"/>
  <c r="L62" i="38"/>
  <c r="K62" i="40"/>
  <c r="K7" i="40"/>
  <c r="J30" i="20"/>
  <c r="Q5" i="20" s="1"/>
  <c r="Q6" i="20" s="1"/>
  <c r="P5" i="20"/>
  <c r="P6" i="20" s="1"/>
  <c r="I30" i="20"/>
  <c r="I8" i="19"/>
  <c r="J8" i="19"/>
  <c r="I12" i="19"/>
  <c r="J12" i="19"/>
  <c r="I8" i="22"/>
  <c r="J8" i="22" s="1"/>
  <c r="I10" i="22"/>
  <c r="J10" i="22" s="1"/>
  <c r="I12" i="22"/>
  <c r="J12" i="22" s="1"/>
  <c r="I14" i="22"/>
  <c r="J14" i="22" s="1"/>
  <c r="I13" i="30"/>
  <c r="J13" i="30"/>
  <c r="I7" i="31"/>
  <c r="K7" i="31"/>
  <c r="M45" i="31" s="1"/>
  <c r="I11" i="31"/>
  <c r="K11" i="31"/>
  <c r="I6" i="19"/>
  <c r="J6" i="19"/>
  <c r="K45" i="19" s="1"/>
  <c r="I9" i="19"/>
  <c r="J9" i="19" s="1"/>
  <c r="I13" i="19"/>
  <c r="J13" i="19" s="1"/>
  <c r="I7" i="30"/>
  <c r="J7" i="30" s="1"/>
  <c r="L41" i="30" s="1"/>
  <c r="I12" i="30"/>
  <c r="J12" i="30" s="1"/>
  <c r="I8" i="31"/>
  <c r="K8" i="31" s="1"/>
  <c r="I12" i="31"/>
  <c r="K12" i="31" s="1"/>
  <c r="I7" i="32"/>
  <c r="K7" i="32"/>
  <c r="M45" i="32" s="1"/>
  <c r="I10" i="33"/>
  <c r="K10" i="33"/>
  <c r="I9" i="32"/>
  <c r="K9" i="32"/>
  <c r="I14" i="33"/>
  <c r="K14" i="33"/>
  <c r="I10" i="32"/>
  <c r="K10" i="32" s="1"/>
  <c r="I14" i="32"/>
  <c r="K14" i="32" s="1"/>
  <c r="I12" i="33"/>
  <c r="K12" i="33"/>
  <c r="L6" i="35"/>
  <c r="I6" i="35"/>
  <c r="K6" i="35" s="1"/>
  <c r="L45" i="35" s="1"/>
  <c r="K7" i="33"/>
  <c r="M45" i="33" s="1"/>
  <c r="I7" i="33"/>
  <c r="K11" i="33"/>
  <c r="I11" i="33"/>
  <c r="I8" i="34"/>
  <c r="K8" i="34" s="1"/>
  <c r="I6" i="34"/>
  <c r="K6" i="34" s="1"/>
  <c r="L45" i="34" s="1"/>
  <c r="I14" i="34"/>
  <c r="K14" i="34" s="1"/>
  <c r="K7" i="34"/>
  <c r="M45" i="34" s="1"/>
  <c r="I7" i="34"/>
  <c r="K11" i="34"/>
  <c r="I11" i="34"/>
  <c r="K7" i="35"/>
  <c r="M45" i="35" s="1"/>
  <c r="I7" i="35"/>
  <c r="K9" i="35"/>
  <c r="I9" i="35"/>
  <c r="K13" i="35"/>
  <c r="I13" i="35"/>
  <c r="L62" i="40"/>
  <c r="L7" i="40"/>
  <c r="K62" i="38"/>
  <c r="K7" i="38"/>
  <c r="I10" i="19"/>
  <c r="J10" i="19" s="1"/>
  <c r="I14" i="19"/>
  <c r="J14" i="19" s="1"/>
  <c r="J9" i="22"/>
  <c r="I9" i="22"/>
  <c r="J11" i="22"/>
  <c r="I11" i="22"/>
  <c r="J13" i="22"/>
  <c r="I13" i="22"/>
  <c r="I8" i="30"/>
  <c r="J8" i="30" s="1"/>
  <c r="I11" i="30"/>
  <c r="J11" i="30" s="1"/>
  <c r="K6" i="31"/>
  <c r="L45" i="31" s="1"/>
  <c r="I6" i="31"/>
  <c r="I9" i="31"/>
  <c r="K9" i="31" s="1"/>
  <c r="I13" i="31"/>
  <c r="K13" i="31" s="1"/>
  <c r="J7" i="19"/>
  <c r="L45" i="19" s="1"/>
  <c r="I7" i="19"/>
  <c r="J11" i="19"/>
  <c r="I11" i="19"/>
  <c r="I6" i="30"/>
  <c r="J6" i="30" s="1"/>
  <c r="K41" i="30" s="1"/>
  <c r="J9" i="30"/>
  <c r="I9" i="30"/>
  <c r="J14" i="30"/>
  <c r="I14" i="30"/>
  <c r="K10" i="31"/>
  <c r="I10" i="31"/>
  <c r="K14" i="31"/>
  <c r="I14" i="31"/>
  <c r="I11" i="32"/>
  <c r="K11" i="32" s="1"/>
  <c r="K6" i="32"/>
  <c r="L45" i="32" s="1"/>
  <c r="I6" i="32"/>
  <c r="I13" i="32"/>
  <c r="K13" i="32" s="1"/>
  <c r="K8" i="32"/>
  <c r="I8" i="32"/>
  <c r="K12" i="32"/>
  <c r="I12" i="32"/>
  <c r="I8" i="33"/>
  <c r="K8" i="33" s="1"/>
  <c r="I12" i="34"/>
  <c r="K12" i="34" s="1"/>
  <c r="I6" i="33"/>
  <c r="K6" i="33" s="1"/>
  <c r="L45" i="33" s="1"/>
  <c r="K9" i="33"/>
  <c r="I9" i="33"/>
  <c r="K13" i="33"/>
  <c r="I13" i="33"/>
  <c r="I12" i="35"/>
  <c r="K12" i="35" s="1"/>
  <c r="I10" i="34"/>
  <c r="K10" i="34" s="1"/>
  <c r="I10" i="35"/>
  <c r="K10" i="35" s="1"/>
  <c r="K9" i="34"/>
  <c r="I9" i="34"/>
  <c r="K13" i="34"/>
  <c r="I13" i="34"/>
  <c r="K8" i="35"/>
  <c r="I8" i="35"/>
  <c r="K11" i="35"/>
  <c r="I11" i="35"/>
  <c r="I14" i="35"/>
  <c r="K14" i="35" s="1"/>
  <c r="L7" i="35" l="1"/>
  <c r="L8" i="35" s="1"/>
  <c r="O5" i="20"/>
  <c r="O6" i="20" s="1"/>
  <c r="N5" i="20"/>
  <c r="N6" i="20" s="1"/>
  <c r="R5" i="20"/>
  <c r="R6" i="20" s="1"/>
  <c r="M5" i="20"/>
  <c r="L7" i="20" l="1"/>
  <c r="L6" i="20"/>
  <c r="L9" i="20" s="1"/>
  <c r="L8" i="20"/>
  <c r="M6" i="20"/>
  <c r="S6" i="20" s="1"/>
</calcChain>
</file>

<file path=xl/sharedStrings.xml><?xml version="1.0" encoding="utf-8"?>
<sst xmlns="http://schemas.openxmlformats.org/spreadsheetml/2006/main" count="2863" uniqueCount="328">
  <si>
    <t>STT</t>
  </si>
  <si>
    <t>Nội dung công việc</t>
  </si>
  <si>
    <t>Nội nghiệp</t>
  </si>
  <si>
    <t>Ngoại nghiệp</t>
  </si>
  <si>
    <t>Đơn vị tính</t>
  </si>
  <si>
    <t>Bút bi</t>
  </si>
  <si>
    <t>Sổ ghi chép</t>
  </si>
  <si>
    <t>Giấy A4</t>
  </si>
  <si>
    <t>Mực in A4 Laser</t>
  </si>
  <si>
    <t>Bìa 3 dây</t>
  </si>
  <si>
    <t>Bìa nút</t>
  </si>
  <si>
    <t>Thước dây</t>
  </si>
  <si>
    <t>cái</t>
  </si>
  <si>
    <t>Lập báo cáo về kiểm tra, quản lý đất công.</t>
  </si>
  <si>
    <t>lít</t>
  </si>
  <si>
    <t>Chi phí phụ cấp lưu trú</t>
  </si>
  <si>
    <t>Thành phần hao phí</t>
  </si>
  <si>
    <t>Công LĐKT: Nhóm 2 
(01KS3 + 01KS4)</t>
  </si>
  <si>
    <t xml:space="preserve">Vật liệu: </t>
  </si>
  <si>
    <t>Ghim bấm</t>
  </si>
  <si>
    <t>gram</t>
  </si>
  <si>
    <t>hộp</t>
  </si>
  <si>
    <t>cây</t>
  </si>
  <si>
    <t>ngày/người</t>
  </si>
  <si>
    <r>
      <t xml:space="preserve">Định mức 
</t>
    </r>
    <r>
      <rPr>
        <i/>
        <sz val="13"/>
        <color rgb="FF000000"/>
        <rFont val="Times New Roman"/>
        <family val="2"/>
      </rPr>
      <t>(Diện tích khu đất trung bình)</t>
    </r>
  </si>
  <si>
    <r>
      <rPr>
        <b/>
        <sz val="13"/>
        <color rgb="FF000000"/>
        <rFont val="Times New Roman"/>
        <family val="2"/>
      </rPr>
      <t>Chi phí đi lại:</t>
    </r>
    <r>
      <rPr>
        <sz val="13"/>
        <color rgb="FF000000"/>
        <rFont val="Times New Roman"/>
        <family val="2"/>
      </rPr>
      <t xml:space="preserve"> Xăng  A92, cụ thể:</t>
    </r>
  </si>
  <si>
    <r>
      <rPr>
        <b/>
        <sz val="13"/>
        <color rgb="FF000000"/>
        <rFont val="Times New Roman"/>
        <family val="2"/>
      </rPr>
      <t>Công LĐKT:</t>
    </r>
    <r>
      <rPr>
        <sz val="13"/>
        <color rgb="FF000000"/>
        <rFont val="Times New Roman"/>
        <family val="2"/>
      </rPr>
      <t xml:space="preserve"> 01KS3 </t>
    </r>
  </si>
  <si>
    <t>công/1khu đất</t>
  </si>
  <si>
    <t>lần/tháng</t>
  </si>
  <si>
    <t>cuốn</t>
  </si>
  <si>
    <t>Tại TPTV</t>
  </si>
  <si>
    <t>Tại huyện Châu Thành</t>
  </si>
  <si>
    <t>Tại huyện Càng Long</t>
  </si>
  <si>
    <t>Tại huyện Tiểu cần; Cầu Ngang</t>
  </si>
  <si>
    <t>Tại huyện Trà cú và Cầu Kè</t>
  </si>
  <si>
    <t xml:space="preserve">Tại thị xã Duyên Hải </t>
  </si>
  <si>
    <t>Tại huyện Duyên Hải</t>
  </si>
  <si>
    <r>
      <rPr>
        <b/>
        <sz val="13"/>
        <color theme="1"/>
        <rFont val="Times New Roman"/>
        <family val="1"/>
      </rPr>
      <t>Công LĐKT:</t>
    </r>
    <r>
      <rPr>
        <sz val="13"/>
        <color theme="1"/>
        <rFont val="Times New Roman"/>
        <family val="2"/>
      </rPr>
      <t xml:space="preserve"> Nhóm 2
(01KS4 + 01KS6)</t>
    </r>
  </si>
  <si>
    <t>Đơn vị tính: 01 thửa đất</t>
  </si>
  <si>
    <t>Kiểm tra lại ranh giới, hiện trạng sử dụng khu đất và phối hợp với địa phương xử lý một số vướng mắc phát sinh (nếu có)</t>
  </si>
  <si>
    <t>Thu thập, rà soát hồ sơ, cơ sở pháp lý để lập Phương án</t>
  </si>
  <si>
    <t>Dự thảo Phương án lấy ý kiến các sở, ngành liên quan</t>
  </si>
  <si>
    <t>Tổng hợp ý kiến, hoàn chỉnh phương án</t>
  </si>
  <si>
    <t>Trình cấp thẩm quyền phê duyệt phương án</t>
  </si>
  <si>
    <t>công</t>
  </si>
  <si>
    <r>
      <rPr>
        <b/>
        <sz val="13"/>
        <color theme="1"/>
        <rFont val="Times New Roman"/>
        <family val="1"/>
      </rPr>
      <t>Công LĐKT:</t>
    </r>
    <r>
      <rPr>
        <sz val="13"/>
        <color theme="1"/>
        <rFont val="Times New Roman"/>
        <family val="2"/>
      </rPr>
      <t xml:space="preserve"> Nhóm 2
(01KS3 + 01KS5)</t>
    </r>
  </si>
  <si>
    <r>
      <t xml:space="preserve">Định mức 
</t>
    </r>
    <r>
      <rPr>
        <i/>
        <sz val="13"/>
        <color rgb="FF000000"/>
        <rFont val="Times New Roman"/>
        <family val="2"/>
      </rPr>
      <t>(Diện tích thửa đất trung bình)</t>
    </r>
  </si>
  <si>
    <r>
      <rPr>
        <b/>
        <sz val="13"/>
        <color theme="1"/>
        <rFont val="Times New Roman"/>
        <family val="1"/>
      </rPr>
      <t>Công LĐKT:</t>
    </r>
    <r>
      <rPr>
        <sz val="13"/>
        <color theme="1"/>
        <rFont val="Times New Roman"/>
        <family val="2"/>
      </rPr>
      <t xml:space="preserve"> Nhóm 4
(01KS3 + 01KS4 + 01KTV + 01KS6)</t>
    </r>
  </si>
  <si>
    <r>
      <rPr>
        <b/>
        <sz val="13"/>
        <color theme="1"/>
        <rFont val="Times New Roman"/>
        <family val="1"/>
      </rPr>
      <t>Công LĐKT:</t>
    </r>
    <r>
      <rPr>
        <sz val="13"/>
        <color theme="1"/>
        <rFont val="Times New Roman"/>
        <family val="2"/>
      </rPr>
      <t xml:space="preserve"> Nhóm 3
(01KS3 + 01KS4 + 01KS6)</t>
    </r>
  </si>
  <si>
    <t>Lựa chọn tổ chức đấu giá tài sản theo Thông tư số 02/2022/TT-BTP ngày 08/02/2022 của Bộ trưởng Bộ Tư pháp.</t>
  </si>
  <si>
    <t xml:space="preserve">Lập hồ sơ, ban hành khung tiêu chí và thông báo công khai tiêu chí lựa chọn tổ chức đấu giá tài sản </t>
  </si>
  <si>
    <t>Đánh giá, chấm điểm theo tiêu chí lựa chọn tổ chức đấu giá tài sản</t>
  </si>
  <si>
    <t>Thông báo kết quả lựa chọn tổ chức đấu giá tài sản</t>
  </si>
  <si>
    <t>Ký hợp đồng với đơn vị thực hiện cuộc bán đấu giá theo quy định</t>
  </si>
  <si>
    <t>Phối hợp đơn vị tổ chức đấu giá tài sản thông báo về việc bán đấu giá tài sản; Ban hành Quy chế cuộc bán đấu giá; Thực hiện việc niêm yết đấu giá tài sản và đăng tải thông tin về việc đấu giá tài sản theo quy định; Xét hồ sơ đăng ký tham gia đấu giá; Tổ chức đấu giá quyền sử dụng đất theo quy định; Báo cáo về kết quả thực hiện đấu giá.</t>
  </si>
  <si>
    <t>Nộp tiền sử dụng đất, tiền thuê đất</t>
  </si>
  <si>
    <t>Trình cơ quan có thẩm quyền quyết định đấu giá quyền sử dụng đất.</t>
  </si>
  <si>
    <r>
      <t>Tổ chức thực hiện xác định giá khởi điểm trình cấp có thẩm quyền phê duyệt giá khởi điểm của thửa đất đấu giá</t>
    </r>
    <r>
      <rPr>
        <sz val="14"/>
        <color rgb="FFFF0000"/>
        <rFont val="Times New Roman"/>
        <family val="1"/>
      </rPr>
      <t>; T</t>
    </r>
    <r>
      <rPr>
        <sz val="14"/>
        <rFont val="Times New Roman"/>
        <family val="1"/>
      </rPr>
      <t>rình cơ quan có thẩm quyền quyết định bước giá để tổ chức đấu giá quyền sử dụng đất theo quy định.</t>
    </r>
  </si>
  <si>
    <t>4.1</t>
  </si>
  <si>
    <r>
      <rPr>
        <b/>
        <sz val="13"/>
        <color theme="1"/>
        <rFont val="Times New Roman"/>
        <family val="1"/>
      </rPr>
      <t>Công LĐKT:</t>
    </r>
    <r>
      <rPr>
        <sz val="13"/>
        <color theme="1"/>
        <rFont val="Times New Roman"/>
        <family val="2"/>
      </rPr>
      <t xml:space="preserve"> Nhóm 4
(01KS3 + 02KS4 + 01KS6)</t>
    </r>
  </si>
  <si>
    <r>
      <rPr>
        <b/>
        <sz val="13"/>
        <color theme="1"/>
        <rFont val="Times New Roman"/>
        <family val="1"/>
      </rPr>
      <t>Công LĐKT:</t>
    </r>
    <r>
      <rPr>
        <sz val="13"/>
        <color theme="1"/>
        <rFont val="Times New Roman"/>
        <family val="2"/>
      </rPr>
      <t xml:space="preserve"> Nhóm 5
(01KS3 + 02KS4 + KTV + 01KS6)</t>
    </r>
  </si>
  <si>
    <t>4.2</t>
  </si>
  <si>
    <t>4.3</t>
  </si>
  <si>
    <t>4.4</t>
  </si>
  <si>
    <r>
      <rPr>
        <b/>
        <sz val="13"/>
        <color theme="1"/>
        <rFont val="Times New Roman"/>
        <family val="1"/>
      </rPr>
      <t>Công LĐKT:</t>
    </r>
    <r>
      <rPr>
        <sz val="13"/>
        <color theme="1"/>
        <rFont val="Times New Roman"/>
        <family val="2"/>
      </rPr>
      <t xml:space="preserve"> Nhóm 3
(01KTV + 01KS4 + 01KS6)</t>
    </r>
  </si>
  <si>
    <t>Công</t>
  </si>
  <si>
    <t>Phối hợp đơn vị tổ chức đấu giá tài sản thông báo về việc bán đấu giá tài sản;Ban hành Quy chế cuộc bán đấu giá; Thực hiện việc niêm yết đấu giá tài sản và đăng tải thông tin về việc đấu giá tài sản theo quy định</t>
  </si>
  <si>
    <t xml:space="preserve"> Xét hồ sơ đăng ký tham gia đấu giá</t>
  </si>
  <si>
    <r>
      <rPr>
        <b/>
        <sz val="13"/>
        <color theme="1"/>
        <rFont val="Times New Roman"/>
        <family val="1"/>
      </rPr>
      <t>Công LĐKT:</t>
    </r>
    <r>
      <rPr>
        <sz val="13"/>
        <color theme="1"/>
        <rFont val="Times New Roman"/>
        <family val="2"/>
      </rPr>
      <t xml:space="preserve"> Nhóm 4
(01KS3 + 01KS4 + KTV + 01KS6)</t>
    </r>
  </si>
  <si>
    <t>5.2</t>
  </si>
  <si>
    <t>5.3</t>
  </si>
  <si>
    <r>
      <rPr>
        <b/>
        <sz val="13"/>
        <color theme="1"/>
        <rFont val="Times New Roman"/>
        <family val="1"/>
      </rPr>
      <t>Công LĐKT:</t>
    </r>
    <r>
      <rPr>
        <sz val="13"/>
        <color theme="1"/>
        <rFont val="Times New Roman"/>
        <family val="2"/>
      </rPr>
      <t xml:space="preserve"> 01KS4 </t>
    </r>
  </si>
  <si>
    <t>Chuẩn bị hồ sơ đấu giá quyền sử dụng đất</t>
  </si>
  <si>
    <t>Tổ chức ký hợp đồng mua bán tài sản đấu giá theo quy định tại Điều 46 Luật Đấu giá tài sản ngày 17/11/2016</t>
  </si>
  <si>
    <t>Trình cơ quan có thẩm quyền phê duyệt kết quả đấu giá đấu giá quyền sử dụng đất</t>
  </si>
  <si>
    <t>Cấp giấy chứng nhận quyền sử dụng đất, giao đất trên thực địa cho người trúng đấu giá</t>
  </si>
  <si>
    <t>5.1</t>
  </si>
  <si>
    <t xml:space="preserve">Định mức </t>
  </si>
  <si>
    <t>Đơn giá</t>
  </si>
  <si>
    <t>Thành tiền</t>
  </si>
  <si>
    <t>Phụ lục 04</t>
  </si>
  <si>
    <t>BẢNG TIỀN LƯƠNG CỦA LAO ĐỘNG KỸ THUẬT</t>
  </si>
  <si>
    <t>đồng/tháng</t>
  </si>
  <si>
    <t>ĐVT: đồng</t>
  </si>
  <si>
    <t>Loại ngạch, bậc</t>
  </si>
  <si>
    <t>Ký hiệu</t>
  </si>
  <si>
    <t>Hệ số</t>
  </si>
  <si>
    <t>Lương theo 
cấp bậc</t>
  </si>
  <si>
    <t>Các khoản đóng góp (BHYT-XH-TN, CĐP)</t>
  </si>
  <si>
    <t>Lương tháng</t>
  </si>
  <si>
    <t>Lương ngày
(26 ngày/tháng)</t>
  </si>
  <si>
    <t>Lương giờ (08h/ngày)</t>
  </si>
  <si>
    <t>(1)</t>
  </si>
  <si>
    <t>(2)</t>
  </si>
  <si>
    <t>(3)</t>
  </si>
  <si>
    <t>(4)</t>
  </si>
  <si>
    <t>(6)= ((5) x 23,5%)</t>
  </si>
  <si>
    <t>(7) =(5) + (6)</t>
  </si>
  <si>
    <t>(8)= (8/26)</t>
  </si>
  <si>
    <t>(9)= (7/8)</t>
  </si>
  <si>
    <t>Bậc 1</t>
  </si>
  <si>
    <t>KS1</t>
  </si>
  <si>
    <t>Bậc 2</t>
  </si>
  <si>
    <t>KS2</t>
  </si>
  <si>
    <t>Bậc 3</t>
  </si>
  <si>
    <t>KS3</t>
  </si>
  <si>
    <t>Bậc 4</t>
  </si>
  <si>
    <t>KS4</t>
  </si>
  <si>
    <t>Bậc 5</t>
  </si>
  <si>
    <t>KS5</t>
  </si>
  <si>
    <t>Bậc 6</t>
  </si>
  <si>
    <t>KS6</t>
  </si>
  <si>
    <t>Bậc 7</t>
  </si>
  <si>
    <t>KS7</t>
  </si>
  <si>
    <t>Ghi chú</t>
  </si>
  <si>
    <t>Kế toán viên</t>
  </si>
  <si>
    <t xml:space="preserve">Công LĐKT: 01KS4 </t>
  </si>
  <si>
    <t>PHỤ LỤC SỐ 01</t>
  </si>
  <si>
    <t>ĐVT: Đồng</t>
  </si>
  <si>
    <t>Chi phí LĐKT</t>
  </si>
  <si>
    <t>Chi phí vật liệu</t>
  </si>
  <si>
    <t>Chi phí công tác phí</t>
  </si>
  <si>
    <t xml:space="preserve">chi phí phụ cấp lưu trú </t>
  </si>
  <si>
    <t>Chi phí trực tiếp</t>
  </si>
  <si>
    <t>Chi phí quản lý chung (15%)</t>
  </si>
  <si>
    <t xml:space="preserve">Lập phương án quản lý đất công </t>
  </si>
  <si>
    <t>Kiểm tra, quản lý ranh giới, hiện trạng sử dụng của từng khu đất</t>
  </si>
  <si>
    <t>lần/tháng/1khu đất</t>
  </si>
  <si>
    <t xml:space="preserve">ĐƠN GIÁ TỔ CHỨC THỰC HIỆN ĐẤU GIÁ QUYỀN SỬ DỤNG ĐẤT 
TRÊN ĐỊA BÀN TỈNH TRÀ VINH </t>
  </si>
  <si>
    <t xml:space="preserve">Tổ chức đấu giá quyền sử dụng đất theo quy định; </t>
  </si>
  <si>
    <t>Báo cáo về kết quả thực hiện đấu giá</t>
  </si>
  <si>
    <t>5.4</t>
  </si>
  <si>
    <r>
      <rPr>
        <b/>
        <sz val="13"/>
        <color theme="1"/>
        <rFont val="Times New Roman"/>
        <family val="1"/>
      </rPr>
      <t>Công LĐKT:</t>
    </r>
    <r>
      <rPr>
        <sz val="13"/>
        <color theme="1"/>
        <rFont val="Times New Roman"/>
        <family val="2"/>
      </rPr>
      <t xml:space="preserve"> Nhóm 2
(01KTV + 01KS4)</t>
    </r>
  </si>
  <si>
    <t>Tổ chức đấu giá quyền sử dụng đất theo quy định</t>
  </si>
  <si>
    <t xml:space="preserve">Thị xã Duyên Hải, huyện Duyên Hải, huyện Cầu Kè và các xã, ấp cù lao trong tỉnh </t>
  </si>
  <si>
    <t>Tại các huyện và tại các xã còn lại</t>
  </si>
  <si>
    <t>Chi phí phụ cấp lưu trú:</t>
  </si>
  <si>
    <r>
      <rPr>
        <b/>
        <sz val="13"/>
        <color rgb="FFFF0000"/>
        <rFont val="Times New Roman"/>
        <family val="1"/>
      </rPr>
      <t>Chi phí đi lại:</t>
    </r>
    <r>
      <rPr>
        <sz val="13"/>
        <color rgb="FFFF0000"/>
        <rFont val="Times New Roman"/>
        <family val="1"/>
      </rPr>
      <t xml:space="preserve"> Xăng  A92, cụ thể:</t>
    </r>
  </si>
  <si>
    <t xml:space="preserve">Tại huyện Trà cú </t>
  </si>
  <si>
    <t>Tại huyện Cầu Kè</t>
  </si>
  <si>
    <t>Khối lượng</t>
  </si>
  <si>
    <r>
      <t xml:space="preserve">Công LĐKT: </t>
    </r>
    <r>
      <rPr>
        <sz val="13"/>
        <color rgb="FF000000"/>
        <rFont val="Times New Roman"/>
        <family val="1"/>
      </rPr>
      <t>01KS4</t>
    </r>
  </si>
  <si>
    <t>I</t>
  </si>
  <si>
    <t>Lập Phương án</t>
  </si>
  <si>
    <t>II</t>
  </si>
  <si>
    <t>a</t>
  </si>
  <si>
    <t>Trường hợp đấu giá thành</t>
  </si>
  <si>
    <r>
      <t>T</t>
    </r>
    <r>
      <rPr>
        <sz val="13"/>
        <rFont val="Times New Roman"/>
        <family val="1"/>
      </rPr>
      <t>rình cơ quan có thẩm quyền quyết định bước giá để tổ chức đấu giá quyền sử dụng đất theo quy định.</t>
    </r>
  </si>
  <si>
    <t xml:space="preserve">Tổ chức thực hiện xác định giá khởi điểm trình cấp có thẩm quyền phê duyệt giá khởi điểm của thửa đất đấu giá; </t>
  </si>
  <si>
    <r>
      <rPr>
        <b/>
        <sz val="13"/>
        <color theme="1"/>
        <rFont val="Times New Roman"/>
        <family val="1"/>
      </rPr>
      <t>Công LĐKT:</t>
    </r>
    <r>
      <rPr>
        <sz val="13"/>
        <color theme="1"/>
        <rFont val="Times New Roman"/>
        <family val="2"/>
      </rPr>
      <t xml:space="preserve"> Nhóm 3
(01KS3 + 01KS4 + 01KS5)</t>
    </r>
  </si>
  <si>
    <r>
      <rPr>
        <b/>
        <sz val="13"/>
        <color theme="1"/>
        <rFont val="Times New Roman"/>
        <family val="1"/>
      </rPr>
      <t>Công LĐKT:</t>
    </r>
    <r>
      <rPr>
        <sz val="13"/>
        <color theme="1"/>
        <rFont val="Times New Roman"/>
        <family val="2"/>
      </rPr>
      <t xml:space="preserve"> Nhóm 2
(01KS4 + 01KS5)</t>
    </r>
  </si>
  <si>
    <r>
      <rPr>
        <b/>
        <sz val="13"/>
        <color theme="1"/>
        <rFont val="Times New Roman"/>
        <family val="1"/>
      </rPr>
      <t>Công LĐKT:</t>
    </r>
    <r>
      <rPr>
        <sz val="13"/>
        <color theme="1"/>
        <rFont val="Times New Roman"/>
        <family val="2"/>
      </rPr>
      <t xml:space="preserve"> Nhóm 4
(01KS3 + 02KS4 + 01KS5)</t>
    </r>
  </si>
  <si>
    <r>
      <rPr>
        <b/>
        <sz val="13"/>
        <color theme="1"/>
        <rFont val="Times New Roman"/>
        <family val="1"/>
      </rPr>
      <t>Công LĐKT:</t>
    </r>
    <r>
      <rPr>
        <sz val="13"/>
        <color theme="1"/>
        <rFont val="Times New Roman"/>
        <family val="2"/>
      </rPr>
      <t xml:space="preserve"> Nhóm 5
(01KS3 + 02KS4 + KTV + 01KS5)</t>
    </r>
  </si>
  <si>
    <r>
      <rPr>
        <b/>
        <sz val="13"/>
        <color theme="1"/>
        <rFont val="Times New Roman"/>
        <family val="1"/>
      </rPr>
      <t>Công LĐKT:</t>
    </r>
    <r>
      <rPr>
        <sz val="13"/>
        <color theme="1"/>
        <rFont val="Times New Roman"/>
        <family val="2"/>
      </rPr>
      <t xml:space="preserve"> Nhóm 3
(01KTV + 01KS4 + 01KS5)</t>
    </r>
  </si>
  <si>
    <t>+ Tại thành phố Trà Vinh</t>
  </si>
  <si>
    <t>+ Tại huyện Châu Thành</t>
  </si>
  <si>
    <t>+ Tại huyện Càng Long</t>
  </si>
  <si>
    <t>+ Tại huyện Tiểu Cần</t>
  </si>
  <si>
    <t>+ Tại huyện Cầu Ngang</t>
  </si>
  <si>
    <t>+ Tại huyện Trà C</t>
  </si>
  <si>
    <t>+ Tại huyện Cầu Kè</t>
  </si>
  <si>
    <t>+ Tại thị xã Duyên Hả</t>
  </si>
  <si>
    <t>+ Tại huyện Duyên Hải</t>
  </si>
  <si>
    <t>+ Tại thị xã Duyên Hải</t>
  </si>
  <si>
    <t>+ Tại huyện Trà Cú</t>
  </si>
  <si>
    <t>Tổ chức thực hiện xác định giá khởi điểm trình cấp có thẩm quyền phê duyệt giá khởi điểm của thửa đất đấu giá</t>
  </si>
  <si>
    <r>
      <rPr>
        <b/>
        <sz val="13"/>
        <color theme="1"/>
        <rFont val="Times New Roman"/>
        <family val="1"/>
      </rPr>
      <t>Công LĐKT:</t>
    </r>
    <r>
      <rPr>
        <sz val="13"/>
        <color theme="1"/>
        <rFont val="Times New Roman"/>
        <family val="2"/>
      </rPr>
      <t xml:space="preserve"> Nhóm 5
(01KS3 + KTV + 02KS4 + 01KS5)</t>
    </r>
  </si>
  <si>
    <r>
      <rPr>
        <b/>
        <sz val="13"/>
        <color theme="1"/>
        <rFont val="Times New Roman"/>
        <family val="1"/>
      </rPr>
      <t>Công LĐKT:</t>
    </r>
    <r>
      <rPr>
        <sz val="13"/>
        <color theme="1"/>
        <rFont val="Times New Roman"/>
        <family val="2"/>
      </rPr>
      <t xml:space="preserve"> Nhóm 4
(01KS3 + KTV + 01KS4 + 01KS5)</t>
    </r>
  </si>
  <si>
    <r>
      <rPr>
        <b/>
        <sz val="13"/>
        <color rgb="FFFF0000"/>
        <rFont val="Times New Roman"/>
        <family val="1"/>
      </rPr>
      <t>Công LĐKT:</t>
    </r>
    <r>
      <rPr>
        <sz val="13"/>
        <color rgb="FFFF0000"/>
        <rFont val="Times New Roman"/>
        <family val="1"/>
      </rPr>
      <t xml:space="preserve"> Nhóm 3
(01KS3 + 01KS4 + 01KS5)</t>
    </r>
  </si>
  <si>
    <r>
      <rPr>
        <b/>
        <sz val="13"/>
        <color theme="1"/>
        <rFont val="Times New Roman"/>
        <family val="1"/>
      </rPr>
      <t>Công LĐKT:</t>
    </r>
    <r>
      <rPr>
        <sz val="13"/>
        <color theme="1"/>
        <rFont val="Times New Roman"/>
        <family val="2"/>
      </rPr>
      <t xml:space="preserve"> Nhóm 4
(01KS3 + 01KTV + 01KS4 + 01KS5)</t>
    </r>
  </si>
  <si>
    <r>
      <rPr>
        <b/>
        <sz val="13"/>
        <color theme="1"/>
        <rFont val="Times New Roman"/>
        <family val="1"/>
      </rPr>
      <t>Công LĐKT:</t>
    </r>
    <r>
      <rPr>
        <sz val="13"/>
        <color theme="1"/>
        <rFont val="Times New Roman"/>
        <family val="2"/>
      </rPr>
      <t xml:space="preserve"> Nhóm 4
(01KS3 + 01KS4 + 01KTV + 01KS5)</t>
    </r>
  </si>
  <si>
    <t>Tại huyện Cầu Ngang</t>
  </si>
  <si>
    <t>Tại huyện Tiểu cần</t>
  </si>
  <si>
    <t>10.1</t>
  </si>
  <si>
    <t>11.2</t>
  </si>
  <si>
    <t>10.2</t>
  </si>
  <si>
    <t>10.3</t>
  </si>
  <si>
    <t>10.4</t>
  </si>
  <si>
    <t>11.1</t>
  </si>
  <si>
    <t>11.3</t>
  </si>
  <si>
    <t>11.4</t>
  </si>
  <si>
    <t>TPTV</t>
  </si>
  <si>
    <t>Châu Thành</t>
  </si>
  <si>
    <t xml:space="preserve">ĐƠN GIÁ TỔ CHỨC THỰC HIỆN ĐẤU GIÁ QUYỀN SỬ DỤNG ĐẤTTRÊN ĐỊA BÀN TỈNH TRÀ VINH
(Đối với thửa đất có giá trị &lt;2 tỷ đồng  </t>
  </si>
  <si>
    <t>ĐƠN GIÁ TỔ CHỨC THỰC HIỆN ĐẤU GIÁ QUYỀN SỬ DỤNG ĐẤT TRÊN ĐỊA BÀN TỈNH TRÀ VINH 
(Đối với thửa đất có giá trị từ 2 tỷ đồng đến 10 tỷ đồng)</t>
  </si>
  <si>
    <t>ĐƠN GIÁ TỔ CHỨC THỰC HIỆN ĐẤU GIÁ QUYỀN SỬ DỤNG ĐẤT TRÊN ĐỊA BÀN TỈNH TRÀ VINH 
(Đối với thửa đất có giá trị từ 50 tỷ đồng đến 100 tỷ đồng)</t>
  </si>
  <si>
    <t>ĐƠN GIÁ TỔ CHỨC THỰC HIỆN ĐẤU GIÁ QUYỀN SỬ DỤNG ĐẤT TRÊN ĐỊA BÀN TỈNH TRÀ VINH 
(Đối với thửa đất có giá trị &gt; 100 tỷ đồng)</t>
  </si>
  <si>
    <t>ngày</t>
  </si>
  <si>
    <t>PHỤ LỤC SỐ 02</t>
  </si>
  <si>
    <r>
      <t xml:space="preserve">ĐƠN GIÁ TỔ CHỨC THỰC HIỆN ĐẤU GIÁ QUYỀN SỬ DỤNG ĐẤT TRÊN ĐỊA BÀN TỈNH TRÀ VINH 
</t>
    </r>
    <r>
      <rPr>
        <b/>
        <i/>
        <sz val="13"/>
        <rFont val="Times New Roman"/>
        <family val="1"/>
      </rPr>
      <t>(Đối với trường hợp đấu không giá thành)</t>
    </r>
  </si>
  <si>
    <r>
      <t xml:space="preserve">ĐƠN GIÁ TỔ CHỨC THỰC HIỆN ĐẤU GIÁ QUYỀN SỬ DỤNG ĐẤT TRÊN ĐỊA BÀN TỈNH TRÀ VINH 
</t>
    </r>
    <r>
      <rPr>
        <b/>
        <i/>
        <sz val="13"/>
        <rFont val="Times New Roman"/>
        <family val="1"/>
      </rPr>
      <t>(Đối với trường hợp đấu giá thành)</t>
    </r>
  </si>
  <si>
    <r>
      <t xml:space="preserve">ĐƠN GIÁ TỔ CHỨC THỰC HIỆN ĐẤU GIÁ QUYỀN SỬ DỤNG ĐẤT TRÊN ĐỊA BÀN TỈNH TRÀ VINH 
</t>
    </r>
    <r>
      <rPr>
        <b/>
        <i/>
        <sz val="13"/>
        <rFont val="Times New Roman"/>
        <family val="1"/>
      </rPr>
      <t>(Đối với thửa đất có giá trị từ 10 tỷ đồng đến 50 tỷ đồng)</t>
    </r>
  </si>
  <si>
    <t xml:space="preserve">Lập Phương án đấu giá </t>
  </si>
  <si>
    <t>Lập phương án đấu giá quyền sử dụng đất, trình cơ quan có thẩm quyền phê duyệt</t>
  </si>
  <si>
    <t>1.1</t>
  </si>
  <si>
    <t>1.2</t>
  </si>
  <si>
    <t>1.3</t>
  </si>
  <si>
    <t>1.4</t>
  </si>
  <si>
    <t>1.5</t>
  </si>
  <si>
    <t>Tổ chức thực hiện đấu giá</t>
  </si>
  <si>
    <t>Đơn vị được giao tổ chức đấu giá quyền sử dụng đất trình cấp thẩm quyền quyết định đưa thửa đất ra đấu giá</t>
  </si>
  <si>
    <t>Tổ chức thực hiện xác định giá khởi điểm trình cấp có thẩm quyền phê duyệt giá khởi điểm của thửa đất đấu giá; Trình cơ quan có thẩm quyền quyết định bước giá để tổ chức đấu giá quyền sử dụng đất theo quy định.</t>
  </si>
  <si>
    <t>Phối hợp đơn vị tổ chức đấu giá tài sản thông báo về việc bán đấu giá tài sản; Ban hành Quy chế cuộc bán đấu giá; Thực hiện việc niêm yết đấu giá tài sản và đăng tải thông tin về việc đấu giá tài sản theo quy định</t>
  </si>
  <si>
    <t>Trường hợp đấu giá không thành</t>
  </si>
  <si>
    <t>1.6</t>
  </si>
  <si>
    <t>1.7</t>
  </si>
  <si>
    <t>1.8</t>
  </si>
  <si>
    <t>1.9</t>
  </si>
  <si>
    <t>2.1</t>
  </si>
  <si>
    <t>2.2</t>
  </si>
  <si>
    <t>2.3</t>
  </si>
  <si>
    <t>2.4</t>
  </si>
  <si>
    <t>2.5</t>
  </si>
  <si>
    <t>Lựa chọn tổ chức đấu giá tài sản theo Thông tư số 02/2022/TT-BTP ngày 08/02/2022 của Bộ trưởng Bộ Tư pháp</t>
  </si>
  <si>
    <t>Chuẩn bị hồ sơ của các thửa đất đấu giá, gửi đến cơ quan tài nguyên và môi trường thẩm định</t>
  </si>
  <si>
    <t>2.1.1</t>
  </si>
  <si>
    <t>2.1.2</t>
  </si>
  <si>
    <t>2.4.1</t>
  </si>
  <si>
    <t>2.4.2</t>
  </si>
  <si>
    <t>2.4.3</t>
  </si>
  <si>
    <t>2.4.4</t>
  </si>
  <si>
    <t>2.5.1</t>
  </si>
  <si>
    <t>2.5.2</t>
  </si>
  <si>
    <t>2.5.3</t>
  </si>
  <si>
    <t>2.5.4</t>
  </si>
  <si>
    <t>1.1.1</t>
  </si>
  <si>
    <t>1.1.2</t>
  </si>
  <si>
    <t>1.4.1</t>
  </si>
  <si>
    <t>1.4.2</t>
  </si>
  <si>
    <t>1.4.3</t>
  </si>
  <si>
    <t>1.4.4</t>
  </si>
  <si>
    <t>1.5.1</t>
  </si>
  <si>
    <t>1.5.2</t>
  </si>
  <si>
    <t>cần tính lượt đi và lượt về</t>
  </si>
  <si>
    <t>1.5.3</t>
  </si>
  <si>
    <t>1.5.4</t>
  </si>
  <si>
    <t xml:space="preserve">ĐƠN GIÁ TỔ CHỨC THỰC HIỆN ĐẤU GIÁ QUYỀN SỬ DỤNG ĐẤT TRÊN ĐỊA BÀN TỈNH TRÀ VINH </t>
  </si>
  <si>
    <t xml:space="preserve">PHỤ LỤC </t>
  </si>
  <si>
    <t>Huyện Duyên Hải</t>
  </si>
  <si>
    <t>ĐƠN GIÁ TỔ CHỨC THỰC HIỆN ĐẤU GIÁ QUYỀN SỬ DỤNG ĐẤT TRÊN ĐỊA BÀN TỈNH TRÀ VINH 
(Đối với thửa đất có giá trị từ 10 tỷ đồng đến 50 tỷ đồng)</t>
  </si>
  <si>
    <r>
      <t xml:space="preserve">Định mức 
</t>
    </r>
    <r>
      <rPr>
        <i/>
        <sz val="13"/>
        <rFont val="Times New Roman"/>
        <family val="2"/>
      </rPr>
      <t>(Công nhóm/khu đất trung bình)</t>
    </r>
  </si>
  <si>
    <r>
      <rPr>
        <b/>
        <sz val="13"/>
        <rFont val="Times New Roman"/>
        <family val="2"/>
      </rPr>
      <t>Công LĐKT:</t>
    </r>
    <r>
      <rPr>
        <sz val="13"/>
        <rFont val="Times New Roman"/>
        <family val="2"/>
      </rPr>
      <t xml:space="preserve"> Nhóm 2
(01KS3 + 01KS5)</t>
    </r>
  </si>
  <si>
    <r>
      <rPr>
        <b/>
        <sz val="13"/>
        <rFont val="Times New Roman"/>
        <family val="2"/>
      </rPr>
      <t>Chi phí đi lại:</t>
    </r>
    <r>
      <rPr>
        <sz val="13"/>
        <rFont val="Times New Roman"/>
        <family val="2"/>
      </rPr>
      <t xml:space="preserve"> Xăng  A92, cụ thể:</t>
    </r>
  </si>
  <si>
    <r>
      <t xml:space="preserve">Công LĐKT: Nhóm 2
</t>
    </r>
    <r>
      <rPr>
        <sz val="13"/>
        <rFont val="Times New Roman"/>
        <family val="2"/>
      </rPr>
      <t>01KS3 + 01KS5</t>
    </r>
  </si>
  <si>
    <r>
      <rPr>
        <b/>
        <sz val="13"/>
        <rFont val="Times New Roman"/>
        <family val="2"/>
      </rPr>
      <t>Công LĐKT:</t>
    </r>
    <r>
      <rPr>
        <sz val="13"/>
        <rFont val="Times New Roman"/>
        <family val="2"/>
      </rPr>
      <t xml:space="preserve"> Nhóm 3
(01KS3 + 01KS4 + 01KS5)</t>
    </r>
  </si>
  <si>
    <r>
      <rPr>
        <b/>
        <sz val="13"/>
        <rFont val="Times New Roman"/>
        <family val="2"/>
      </rPr>
      <t>Công LĐKT:</t>
    </r>
    <r>
      <rPr>
        <sz val="13"/>
        <rFont val="Times New Roman"/>
        <family val="2"/>
      </rPr>
      <t xml:space="preserve"> Nhóm 4
(01KS3 + 01KS4 + 01KTV + 01KS5)</t>
    </r>
  </si>
  <si>
    <r>
      <rPr>
        <b/>
        <sz val="13"/>
        <rFont val="Times New Roman"/>
        <family val="2"/>
      </rPr>
      <t>Công LĐKT:</t>
    </r>
    <r>
      <rPr>
        <sz val="13"/>
        <rFont val="Times New Roman"/>
        <family val="2"/>
      </rPr>
      <t xml:space="preserve"> Nhóm 2
(01KS3 + 01KS4)</t>
    </r>
  </si>
  <si>
    <r>
      <rPr>
        <b/>
        <sz val="13"/>
        <rFont val="Times New Roman"/>
        <family val="2"/>
      </rPr>
      <t>Công LĐKT:</t>
    </r>
    <r>
      <rPr>
        <sz val="13"/>
        <rFont val="Times New Roman"/>
        <family val="2"/>
      </rPr>
      <t xml:space="preserve"> Nhóm 2
(01KS3 +  01KS5)</t>
    </r>
  </si>
  <si>
    <t>Trình cơ quan có thẩm quyền quyết định bước giá để tổ chức đấu giá quyền sử dụng đất theo quy định.</t>
  </si>
  <si>
    <r>
      <rPr>
        <b/>
        <sz val="13"/>
        <rFont val="Times New Roman"/>
        <family val="2"/>
      </rPr>
      <t>Công LĐKT:</t>
    </r>
    <r>
      <rPr>
        <sz val="13"/>
        <rFont val="Times New Roman"/>
        <family val="2"/>
      </rPr>
      <t xml:space="preserve"> Nhóm 2
(01KS4 + 01KS5)</t>
    </r>
  </si>
  <si>
    <r>
      <rPr>
        <b/>
        <sz val="13"/>
        <rFont val="Times New Roman"/>
        <family val="2"/>
      </rPr>
      <t>Công LĐKT:</t>
    </r>
    <r>
      <rPr>
        <sz val="13"/>
        <rFont val="Times New Roman"/>
        <family val="2"/>
      </rPr>
      <t xml:space="preserve"> Nhóm 3
(01KTV + 01KS4 + 01KS5)</t>
    </r>
  </si>
  <si>
    <r>
      <rPr>
        <b/>
        <sz val="13"/>
        <rFont val="Times New Roman"/>
        <family val="2"/>
      </rPr>
      <t>Công LĐKT:</t>
    </r>
    <r>
      <rPr>
        <sz val="13"/>
        <rFont val="Times New Roman"/>
        <family val="2"/>
      </rPr>
      <t xml:space="preserve"> Nhóm 4
(01KS3 + 01KS4 + KTV + 01KS5)</t>
    </r>
  </si>
  <si>
    <r>
      <rPr>
        <b/>
        <sz val="13"/>
        <rFont val="Times New Roman"/>
        <family val="2"/>
      </rPr>
      <t>Công LĐKT:</t>
    </r>
    <r>
      <rPr>
        <sz val="13"/>
        <rFont val="Times New Roman"/>
        <family val="2"/>
      </rPr>
      <t xml:space="preserve"> Nhóm 2
(01KTV + 01KS4)</t>
    </r>
  </si>
  <si>
    <r>
      <rPr>
        <b/>
        <sz val="13"/>
        <rFont val="Times New Roman"/>
        <family val="2"/>
      </rPr>
      <t>Công LĐKT:</t>
    </r>
    <r>
      <rPr>
        <sz val="13"/>
        <rFont val="Times New Roman"/>
        <family val="2"/>
      </rPr>
      <t xml:space="preserve"> 01KS4 </t>
    </r>
  </si>
  <si>
    <t>BẢNG TỔNG HỢP ĐƠN GIÁ</t>
  </si>
  <si>
    <t xml:space="preserve">- Thị xã Duyên Hải, huyện Duyên Hải, huyện Cầu Kè và các xã, ấp cù lao trong tỉnh </t>
  </si>
  <si>
    <t>- Tại các huyện và tại các xã còn lại</t>
  </si>
  <si>
    <t>Đấu giá thành</t>
  </si>
  <si>
    <t>Đấu giá không thành</t>
  </si>
  <si>
    <r>
      <rPr>
        <b/>
        <sz val="13"/>
        <rFont val="Times New Roman"/>
        <family val="2"/>
      </rPr>
      <t>Công LĐKT:</t>
    </r>
    <r>
      <rPr>
        <sz val="13"/>
        <rFont val="Times New Roman"/>
        <family val="2"/>
      </rPr>
      <t xml:space="preserve"> Nhóm 5
(01KS3 + 02KS4 + 01KTV + 01KS5)</t>
    </r>
  </si>
  <si>
    <t>Cấp giấy chứng nhận quyền sử dụng đất</t>
  </si>
  <si>
    <t>ngày/
02người</t>
  </si>
  <si>
    <t>1.10</t>
  </si>
  <si>
    <t>Giao đất trên thực địa cho người trúng đấu giá</t>
  </si>
  <si>
    <t>ngày/ 
02người</t>
  </si>
  <si>
    <t>ngày/
03người</t>
  </si>
  <si>
    <t>*</t>
  </si>
  <si>
    <t>+ Tại huyện Tiểu Cần và huyện Cầu Ngang</t>
  </si>
  <si>
    <t>3.1</t>
  </si>
  <si>
    <t>3.2</t>
  </si>
  <si>
    <t>6.1</t>
  </si>
  <si>
    <t>6.2</t>
  </si>
  <si>
    <t>6.3</t>
  </si>
  <si>
    <t>6.4</t>
  </si>
  <si>
    <t>Phối hợp đơn vị thực hiện cuộc bán đấu giá tổ chức thông báo về việc bán đấu giá tài sản; Ban hành Quy chế cuộc bán đấu giá; Thực hiện việc niêm yết đấu giá tài sản và đăng tải thông tin về việc đấu giá tài sản theo quy định</t>
  </si>
  <si>
    <t>Báo cáo về kết quả thực hiện đấu giá quyền sử dụng đất</t>
  </si>
  <si>
    <t>Tổ chức ký hợp đồng giữa chủ tài sản và người trúng đấu giá (theo Điều 46 Luật Đấu giá tài sản 2016)</t>
  </si>
  <si>
    <t>13.1</t>
  </si>
  <si>
    <t>13.2</t>
  </si>
  <si>
    <t>16.1</t>
  </si>
  <si>
    <t>16.2</t>
  </si>
  <si>
    <t>16.3</t>
  </si>
  <si>
    <t>16.4</t>
  </si>
  <si>
    <t>Ghi chú:</t>
  </si>
  <si>
    <t>- Hệ số lương theo Nghị định số 204/2004/NĐ-CP ngày 14/12/2004.</t>
  </si>
  <si>
    <t>- Mức lương cơ sở áp dụng Nghị định số 24/2023/NĐ-CP ngày 14/5/2023.</t>
  </si>
  <si>
    <t>- Các khoản đóng góp BHXH, BHYT, BHTN (21,5%) căn cứ công văn số 260/BHXH-QLT ngày 25/5/2017.</t>
  </si>
  <si>
    <t>- Công đoàn phí (2%) tính theo Nghị định 191/2013/NĐ-CP ngày 21/11/2013.</t>
  </si>
  <si>
    <t>(5)=((4)*1.800.000)</t>
  </si>
  <si>
    <t>KTV4</t>
  </si>
  <si>
    <t>Nội nghiệp 15%</t>
  </si>
  <si>
    <t>Ngoại nghiệp 20%</t>
  </si>
  <si>
    <t xml:space="preserve">Chi phí quản lý chung </t>
  </si>
  <si>
    <t>Thành tiền 
(đồng)</t>
  </si>
  <si>
    <t>Chi phí công LĐKT</t>
  </si>
  <si>
    <t xml:space="preserve">Chi phí phụ cấp lưu trú </t>
  </si>
  <si>
    <t>Chi phí 
công tác phí</t>
  </si>
  <si>
    <t>Chi phí 
trực tiếp</t>
  </si>
  <si>
    <t>ngày/ 02người</t>
  </si>
  <si>
    <t>+ Đối với khu đất có giá trị từ trên 10 tỷ đồng đến 50 tỷ đồng thì nhân với hệ số K=2,5.</t>
  </si>
  <si>
    <t>+ Đối với khu đất có giá trị từ trên 50 tỷ đồng đến 100 tỷ đồng thì nhân với hệ số K=3,5.</t>
  </si>
  <si>
    <t xml:space="preserve">            - Giá xăng của Petrolimex ngày 02/11/2023.</t>
  </si>
  <si>
    <t>+ Đối với khu đất có giá trị từ trên 02 tỷ đồng đến 10 tỷ đồng thì nhân với hệ số K=1,5.</t>
  </si>
  <si>
    <t>(Ban hành kèm theo Tờ trình số ……./TTr-STNMT ngày ..…tháng …... năm 2023 của Sở Tài nguyên và Môi trường)</t>
  </si>
  <si>
    <r>
      <t>+ Đối với khu đất có giá trị trên 100 tỷ đồng thì nhân với hệ số K=4,5</t>
    </r>
    <r>
      <rPr>
        <sz val="13.5"/>
        <rFont val="Times New Roman"/>
        <family val="1"/>
      </rPr>
      <t>.</t>
    </r>
  </si>
  <si>
    <t>BẢNG TỔNG HỢP CHI PHÍ CÔNG LAO ĐỘNG KỸ THUẬT, VẬT LIỆU VÀ CÔNG TÁC PHÍ</t>
  </si>
  <si>
    <r>
      <t xml:space="preserve">Thành tiền
</t>
    </r>
    <r>
      <rPr>
        <i/>
        <sz val="13"/>
        <rFont val="Times New Roman"/>
        <family val="1"/>
      </rPr>
      <t>(đồng)</t>
    </r>
  </si>
  <si>
    <t>1. Đơn giá áp dụng đối với khu đất có giá trị đến 02 tỷ đồng, cho tổ chức thực hiện đấu giá quyền sử dụng đất để giao đất có thu tiền sử dụng đất hoặc cho thuê đất cho tổ chức, hộ gia đình cá nhân.</t>
  </si>
  <si>
    <t>2. Đối với các khu đất có giá trị trên 02 tỷ đồng thì đơn giá được xác định tương tự như Bảng đơn giá nêu trên và tại các mục: mục 1; điểm 3.1 mục 3; mục 6, mục 7, mục 8, mục 9; điểm 13.1 mục 13; mục 16, mục 17, mục 18, mục 19 được nhân với hệ số K cụ thể như sau:</t>
  </si>
  <si>
    <t>Báo cáo cấp thẩm quyền quyết định bước giá để tổ chức đấu giá quyền sử dụng đất theo quy định</t>
  </si>
  <si>
    <r>
      <t xml:space="preserve">Định mức
</t>
    </r>
    <r>
      <rPr>
        <i/>
        <sz val="13"/>
        <rFont val="Times New Roman"/>
        <family val="1"/>
      </rPr>
      <t>(công nhóm/01khu đất trung bình)</t>
    </r>
  </si>
  <si>
    <r>
      <t>Công LĐKT:</t>
    </r>
    <r>
      <rPr>
        <sz val="13"/>
        <rFont val="Times New Roman"/>
        <family val="1"/>
      </rPr>
      <t xml:space="preserve"> Nhóm 2 (01KS3 + 01KS5)</t>
    </r>
  </si>
  <si>
    <r>
      <t>Chi phí đi lại:</t>
    </r>
    <r>
      <rPr>
        <sz val="13"/>
        <rFont val="Times New Roman"/>
        <family val="1"/>
      </rPr>
      <t xml:space="preserve"> Xăng  A92, cụ thể:</t>
    </r>
  </si>
  <si>
    <r>
      <t xml:space="preserve">Công LĐKT: </t>
    </r>
    <r>
      <rPr>
        <sz val="13"/>
        <rFont val="Times New Roman"/>
        <family val="1"/>
      </rPr>
      <t>Nhóm 2 (01KS3 + 01KS5)</t>
    </r>
  </si>
  <si>
    <r>
      <t>Công LĐKT:</t>
    </r>
    <r>
      <rPr>
        <sz val="13"/>
        <rFont val="Times New Roman"/>
        <family val="1"/>
      </rPr>
      <t xml:space="preserve"> Nhóm 3 (01KS3 + 01KS4 + 01KS5)</t>
    </r>
  </si>
  <si>
    <r>
      <t>Công LĐKT:</t>
    </r>
    <r>
      <rPr>
        <sz val="13"/>
        <rFont val="Times New Roman"/>
        <family val="1"/>
      </rPr>
      <t xml:space="preserve"> Nhóm 4 (01KS3 + 01KS4 + 01KTV4 + 01KS5)</t>
    </r>
  </si>
  <si>
    <r>
      <t xml:space="preserve">Công LĐKT: </t>
    </r>
    <r>
      <rPr>
        <sz val="13"/>
        <rFont val="Times New Roman"/>
        <family val="1"/>
      </rPr>
      <t>Nhóm 2 (01KS3 + 01KS4)</t>
    </r>
  </si>
  <si>
    <r>
      <t xml:space="preserve">Công LĐKT: </t>
    </r>
    <r>
      <rPr>
        <sz val="13"/>
        <rFont val="Times New Roman"/>
        <family val="1"/>
      </rPr>
      <t>Nhóm 3 (01KS3 + 01KS4 + 01KS5)</t>
    </r>
  </si>
  <si>
    <r>
      <t xml:space="preserve">Công LĐKT: </t>
    </r>
    <r>
      <rPr>
        <sz val="13"/>
        <rFont val="Times New Roman"/>
        <family val="1"/>
      </rPr>
      <t>Nhóm 2 (01KS4 + 01KS5)</t>
    </r>
  </si>
  <si>
    <r>
      <t xml:space="preserve">Công LĐKT: </t>
    </r>
    <r>
      <rPr>
        <sz val="13"/>
        <rFont val="Times New Roman"/>
        <family val="1"/>
      </rPr>
      <t>Nhóm 3 (01KTV4 + 01KS4 + 01KS5)</t>
    </r>
  </si>
  <si>
    <r>
      <t xml:space="preserve">Công LĐKT: </t>
    </r>
    <r>
      <rPr>
        <sz val="13"/>
        <rFont val="Times New Roman"/>
        <family val="1"/>
      </rPr>
      <t>Nhóm 4 (01KS3 + 01KS4 + 01KTV4 + 01KS5)</t>
    </r>
  </si>
  <si>
    <r>
      <t>Công LĐKT:</t>
    </r>
    <r>
      <rPr>
        <sz val="13"/>
        <rFont val="Times New Roman"/>
        <family val="1"/>
      </rPr>
      <t xml:space="preserve"> Nhóm 2 (01KS4 + 01KS5 )</t>
    </r>
  </si>
  <si>
    <r>
      <t xml:space="preserve">Công LĐKT: </t>
    </r>
    <r>
      <rPr>
        <sz val="13"/>
        <rFont val="Times New Roman"/>
        <family val="1"/>
      </rPr>
      <t>Nhóm 2 (01KTV4+ 01KS4)</t>
    </r>
  </si>
  <si>
    <r>
      <t>Công LĐKT:</t>
    </r>
    <r>
      <rPr>
        <sz val="13"/>
        <rFont val="Times New Roman"/>
        <family val="1"/>
      </rPr>
      <t xml:space="preserve"> Nhóm 2 (01KS4 + 01KS5)</t>
    </r>
  </si>
  <si>
    <r>
      <t>Công LĐKT:</t>
    </r>
    <r>
      <rPr>
        <sz val="13"/>
        <rFont val="Times New Roman"/>
        <family val="1"/>
      </rPr>
      <t xml:space="preserve"> Nhóm 2 (01KTV4 + 01KS4)</t>
    </r>
  </si>
  <si>
    <r>
      <rPr>
        <b/>
        <u/>
        <sz val="13"/>
        <rFont val="Times New Roman"/>
        <family val="1"/>
      </rPr>
      <t>Ghi chú:</t>
    </r>
    <r>
      <rPr>
        <sz val="13"/>
        <rFont val="Times New Roman"/>
        <family val="1"/>
      </rPr>
      <t xml:space="preserve"> </t>
    </r>
  </si>
  <si>
    <t xml:space="preserve">            - Chi phí vật liệu được tính trên cơ sở giá vật liệu (chưa bao gồm thuế giá trị gia tăng) theo bảng báo giá tại thời điểm tháng 11/2023 của các đơn vị trên địa bàn tỉnh Trà Vinh. </t>
  </si>
  <si>
    <r>
      <t xml:space="preserve">Đơn giá
</t>
    </r>
    <r>
      <rPr>
        <i/>
        <sz val="13"/>
        <rFont val="Times New Roman"/>
        <family val="1"/>
      </rPr>
      <t xml:space="preserve">(Chưa thuế VAT)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</si>
</sst>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
    <numFmt numFmtId="166" formatCode="0.0"/>
  </numFmts>
  <fonts count="51" x14ac:knownFonts="1">
    <font>
      <sz val="12"/>
      <color theme="1"/>
      <name val="Times New Roman"/>
      <family val="2"/>
    </font>
    <font>
      <b/>
      <sz val="13"/>
      <color theme="1"/>
      <name val="Times New Roman"/>
      <family val="1"/>
    </font>
    <font>
      <sz val="13"/>
      <color theme="1"/>
      <name val="Times New Roman"/>
      <family val="1"/>
    </font>
    <font>
      <i/>
      <sz val="13"/>
      <color rgb="FFFF0000"/>
      <name val="Times New Roman"/>
      <family val="1"/>
    </font>
    <font>
      <sz val="13"/>
      <color theme="1"/>
      <name val="Times New Roman"/>
      <family val="2"/>
    </font>
    <font>
      <b/>
      <i/>
      <sz val="13"/>
      <color rgb="FF000000"/>
      <name val="Times New Roman"/>
      <family val="2"/>
    </font>
    <font>
      <b/>
      <sz val="13"/>
      <color rgb="FF000000"/>
      <name val="Times New Roman"/>
      <family val="2"/>
    </font>
    <font>
      <i/>
      <sz val="13"/>
      <color rgb="FF000000"/>
      <name val="Times New Roman"/>
      <family val="2"/>
    </font>
    <font>
      <sz val="13"/>
      <color rgb="FF000000"/>
      <name val="Times New Roman"/>
      <family val="2"/>
    </font>
    <font>
      <sz val="13"/>
      <color rgb="FFFF0000"/>
      <name val="Times New Roman"/>
      <family val="2"/>
    </font>
    <font>
      <b/>
      <sz val="13"/>
      <color theme="1"/>
      <name val="Times New Roman"/>
      <family val="2"/>
    </font>
    <font>
      <sz val="13"/>
      <color rgb="FFFF0000"/>
      <name val="Times New Roman"/>
      <family val="1"/>
    </font>
    <font>
      <sz val="12"/>
      <color theme="1"/>
      <name val="Times New Roman"/>
      <family val="2"/>
    </font>
    <font>
      <sz val="14"/>
      <name val="Times New Roman"/>
      <family val="1"/>
    </font>
    <font>
      <sz val="14"/>
      <color rgb="FFFF0000"/>
      <name val="Times New Roman"/>
      <family val="1"/>
    </font>
    <font>
      <i/>
      <sz val="12"/>
      <color theme="1"/>
      <name val="Times New Roman"/>
      <family val="1"/>
    </font>
    <font>
      <b/>
      <sz val="13"/>
      <color rgb="FF000000"/>
      <name val="Times New Roman"/>
      <family val="1"/>
    </font>
    <font>
      <sz val="13"/>
      <name val="Times New Roman"/>
      <family val="1"/>
    </font>
    <font>
      <b/>
      <sz val="13"/>
      <name val="Times New Roman"/>
      <family val="1"/>
    </font>
    <font>
      <i/>
      <sz val="10"/>
      <name val="Times New Roman"/>
      <family val="1"/>
    </font>
    <font>
      <i/>
      <sz val="13"/>
      <name val="Times New Roman"/>
      <family val="1"/>
    </font>
    <font>
      <b/>
      <sz val="12"/>
      <color theme="1"/>
      <name val="Times New Roman"/>
      <family val="1"/>
    </font>
    <font>
      <i/>
      <sz val="13"/>
      <color theme="1"/>
      <name val="Times New Roman"/>
      <family val="1"/>
    </font>
    <font>
      <b/>
      <sz val="12"/>
      <name val="Times New Roman"/>
      <family val="1"/>
    </font>
    <font>
      <sz val="13"/>
      <name val="Times New Roman"/>
      <family val="2"/>
    </font>
    <font>
      <sz val="12"/>
      <color theme="1"/>
      <name val="Times New Roman"/>
      <family val="1"/>
    </font>
    <font>
      <sz val="14"/>
      <color rgb="FF000000"/>
      <name val="Times New Roman"/>
      <family val="1"/>
    </font>
    <font>
      <sz val="13"/>
      <color rgb="FF000000"/>
      <name val="Times New Roman"/>
      <family val="1"/>
    </font>
    <font>
      <sz val="12"/>
      <name val="Times New Roman"/>
      <family val="1"/>
    </font>
    <font>
      <i/>
      <sz val="12"/>
      <color rgb="FFFF0000"/>
      <name val="Times New Roman"/>
      <family val="1"/>
    </font>
    <font>
      <sz val="12"/>
      <color rgb="FFFF0000"/>
      <name val="Times New Roman"/>
      <family val="1"/>
    </font>
    <font>
      <b/>
      <sz val="13"/>
      <color rgb="FFFF0000"/>
      <name val="Times New Roman"/>
      <family val="1"/>
    </font>
    <font>
      <b/>
      <sz val="12"/>
      <color rgb="FFFF0000"/>
      <name val="Times New Roman"/>
      <family val="1"/>
    </font>
    <font>
      <i/>
      <sz val="13"/>
      <color rgb="FF000000"/>
      <name val="Times New Roman"/>
      <family val="1"/>
    </font>
    <font>
      <i/>
      <sz val="12"/>
      <name val="Times New Roman"/>
      <family val="1"/>
    </font>
    <font>
      <b/>
      <sz val="13"/>
      <name val="Times New Roman"/>
      <family val="2"/>
    </font>
    <font>
      <sz val="12"/>
      <name val="Times New Roman"/>
      <family val="2"/>
    </font>
    <font>
      <b/>
      <sz val="12"/>
      <color rgb="FF000000"/>
      <name val="Times New Roman"/>
      <family val="2"/>
    </font>
    <font>
      <b/>
      <sz val="12"/>
      <name val="Times New Roman"/>
      <family val="2"/>
    </font>
    <font>
      <sz val="12"/>
      <color rgb="FF000000"/>
      <name val="Times New Roman"/>
      <family val="2"/>
    </font>
    <font>
      <sz val="12"/>
      <color rgb="FFFF0000"/>
      <name val="Times New Roman"/>
      <family val="2"/>
    </font>
    <font>
      <i/>
      <sz val="12"/>
      <color rgb="FF000000"/>
      <name val="Times New Roman"/>
      <family val="2"/>
    </font>
    <font>
      <b/>
      <sz val="12"/>
      <color theme="1"/>
      <name val="Times New Roman"/>
      <family val="2"/>
    </font>
    <font>
      <sz val="14"/>
      <color theme="1"/>
      <name val="Times New Roman"/>
      <family val="1"/>
    </font>
    <font>
      <b/>
      <i/>
      <sz val="13"/>
      <name val="Times New Roman"/>
      <family val="1"/>
    </font>
    <font>
      <i/>
      <sz val="13"/>
      <name val="Times New Roman"/>
      <family val="2"/>
    </font>
    <font>
      <sz val="14"/>
      <name val="Times New Roman"/>
      <family val="2"/>
    </font>
    <font>
      <b/>
      <u/>
      <sz val="13"/>
      <name val="Times New Roman"/>
      <family val="1"/>
    </font>
    <font>
      <b/>
      <i/>
      <sz val="12"/>
      <name val="Times New Roman"/>
      <family val="1"/>
    </font>
    <font>
      <b/>
      <i/>
      <u/>
      <sz val="13"/>
      <name val="Times New Roman"/>
      <family val="1"/>
    </font>
    <font>
      <sz val="13.5"/>
      <name val="Times New Roman"/>
      <family val="1"/>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3" fontId="12" fillId="0" borderId="0" applyFont="0" applyFill="0" applyBorder="0" applyAlignment="0" applyProtection="0"/>
  </cellStyleXfs>
  <cellXfs count="778">
    <xf numFmtId="0" fontId="0" fillId="0" borderId="0" xfId="0"/>
    <xf numFmtId="0" fontId="0" fillId="0" borderId="1" xfId="0" applyBorder="1"/>
    <xf numFmtId="0" fontId="4" fillId="0" borderId="0" xfId="0" applyFont="1"/>
    <xf numFmtId="0" fontId="9"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justify" vertical="center" wrapText="1"/>
    </xf>
    <xf numFmtId="0" fontId="4" fillId="0" borderId="7" xfId="0" applyFont="1" applyBorder="1" applyAlignment="1">
      <alignment horizontal="center" vertical="center" wrapText="1"/>
    </xf>
    <xf numFmtId="0" fontId="4" fillId="0" borderId="7" xfId="0" applyFont="1" applyBorder="1" applyAlignment="1">
      <alignment horizontal="justify" vertical="center" wrapText="1"/>
    </xf>
    <xf numFmtId="0" fontId="4" fillId="0" borderId="7" xfId="0" applyFont="1" applyBorder="1" applyAlignment="1">
      <alignment horizontal="left" vertical="center" wrapText="1"/>
    </xf>
    <xf numFmtId="0" fontId="9" fillId="0" borderId="7" xfId="0" applyFont="1" applyBorder="1" applyAlignment="1">
      <alignment horizontal="center" vertical="center" wrapText="1"/>
    </xf>
    <xf numFmtId="0" fontId="8" fillId="0" borderId="7" xfId="0" applyFont="1" applyBorder="1" applyAlignment="1">
      <alignment horizontal="left"/>
    </xf>
    <xf numFmtId="0" fontId="8" fillId="0" borderId="7" xfId="0" applyFont="1" applyBorder="1" applyAlignment="1">
      <alignment horizontal="center"/>
    </xf>
    <xf numFmtId="0" fontId="4" fillId="0" borderId="3"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3" xfId="0" applyFont="1" applyBorder="1" applyAlignment="1">
      <alignment horizontal="left" vertical="center" wrapText="1"/>
    </xf>
    <xf numFmtId="0" fontId="8" fillId="0" borderId="3" xfId="0" applyFont="1" applyBorder="1" applyAlignment="1">
      <alignment horizontal="center"/>
    </xf>
    <xf numFmtId="0" fontId="9" fillId="0" borderId="3"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8"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8" fillId="0" borderId="7" xfId="0" applyFont="1" applyBorder="1" applyAlignment="1">
      <alignment horizontal="center" vertical="center" wrapText="1"/>
    </xf>
    <xf numFmtId="0" fontId="9" fillId="0" borderId="7" xfId="0" applyFont="1" applyBorder="1" applyAlignment="1">
      <alignment horizontal="justify" vertical="center" wrapText="1"/>
    </xf>
    <xf numFmtId="0" fontId="8" fillId="0" borderId="7" xfId="0" applyFont="1" applyBorder="1"/>
    <xf numFmtId="0" fontId="4" fillId="0" borderId="7" xfId="0" applyFont="1" applyBorder="1"/>
    <xf numFmtId="0" fontId="8" fillId="2" borderId="7" xfId="0" applyFont="1" applyFill="1" applyBorder="1" applyAlignment="1">
      <alignment horizontal="left" vertical="center" wrapText="1"/>
    </xf>
    <xf numFmtId="0" fontId="8"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0" borderId="2" xfId="0" applyFont="1" applyBorder="1" applyAlignment="1">
      <alignment horizontal="justify" vertical="center" wrapText="1"/>
    </xf>
    <xf numFmtId="0" fontId="8" fillId="0" borderId="2" xfId="0" applyFont="1" applyBorder="1" applyAlignment="1">
      <alignment horizontal="left" vertical="center" wrapText="1"/>
    </xf>
    <xf numFmtId="0" fontId="10" fillId="0" borderId="7" xfId="0" applyFont="1" applyBorder="1" applyAlignment="1">
      <alignment horizontal="left" vertical="center" wrapText="1"/>
    </xf>
    <xf numFmtId="0" fontId="8" fillId="0" borderId="7" xfId="0" applyFont="1" applyFill="1" applyBorder="1" applyAlignment="1">
      <alignment horizontal="center"/>
    </xf>
    <xf numFmtId="0" fontId="4" fillId="0" borderId="7" xfId="0" applyFont="1" applyFill="1" applyBorder="1" applyAlignment="1">
      <alignment horizontal="center" vertical="center" wrapText="1"/>
    </xf>
    <xf numFmtId="0" fontId="4" fillId="0" borderId="3" xfId="0" applyFont="1" applyBorder="1"/>
    <xf numFmtId="0" fontId="8" fillId="0" borderId="3" xfId="0" applyFont="1" applyBorder="1"/>
    <xf numFmtId="0" fontId="8" fillId="0" borderId="3" xfId="0" applyFont="1" applyFill="1" applyBorder="1" applyAlignment="1">
      <alignment horizontal="center"/>
    </xf>
    <xf numFmtId="0" fontId="4" fillId="0" borderId="3" xfId="0" applyFont="1" applyFill="1" applyBorder="1" applyAlignment="1">
      <alignment horizontal="center" vertical="center" wrapText="1"/>
    </xf>
    <xf numFmtId="0" fontId="4" fillId="0" borderId="0" xfId="0" applyFont="1" applyAlignment="1">
      <alignment horizontal="center"/>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2" xfId="0" applyFont="1" applyBorder="1" applyAlignment="1">
      <alignment horizontal="left" vertical="center" wrapText="1"/>
    </xf>
    <xf numFmtId="0" fontId="4" fillId="0" borderId="7" xfId="0" applyFont="1" applyBorder="1" applyAlignment="1">
      <alignment horizontal="center"/>
    </xf>
    <xf numFmtId="0" fontId="2" fillId="0" borderId="2" xfId="0" applyFont="1" applyBorder="1" applyAlignment="1">
      <alignment horizontal="left" vertical="center" wrapText="1"/>
    </xf>
    <xf numFmtId="0" fontId="10" fillId="0" borderId="3" xfId="0" applyFont="1" applyBorder="1" applyAlignment="1">
      <alignment vertical="center"/>
    </xf>
    <xf numFmtId="0" fontId="8" fillId="2"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left"/>
    </xf>
    <xf numFmtId="0" fontId="4" fillId="0" borderId="2" xfId="0" applyFont="1" applyBorder="1"/>
    <xf numFmtId="0" fontId="9" fillId="0" borderId="2" xfId="0" applyFont="1" applyBorder="1" applyAlignment="1">
      <alignment horizontal="left" vertical="top" wrapText="1"/>
    </xf>
    <xf numFmtId="0" fontId="4" fillId="0" borderId="7" xfId="0" applyFont="1" applyBorder="1" applyAlignment="1">
      <alignment horizontal="left" vertical="top"/>
    </xf>
    <xf numFmtId="0" fontId="4" fillId="0" borderId="3" xfId="0" applyFont="1" applyBorder="1" applyAlignment="1">
      <alignment horizontal="left" vertical="top"/>
    </xf>
    <xf numFmtId="0" fontId="8" fillId="2" borderId="3" xfId="0" applyFont="1" applyFill="1" applyBorder="1" applyAlignment="1">
      <alignment horizontal="center" vertical="justify"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11" fillId="2" borderId="1" xfId="0" applyFont="1" applyFill="1" applyBorder="1" applyAlignment="1">
      <alignment horizontal="justify" vertical="center" wrapText="1"/>
    </xf>
    <xf numFmtId="0" fontId="9" fillId="0" borderId="2" xfId="0" applyFont="1" applyBorder="1" applyAlignment="1">
      <alignment horizontal="left" vertical="top" wrapText="1"/>
    </xf>
    <xf numFmtId="0" fontId="9" fillId="0" borderId="7" xfId="0" applyFont="1" applyBorder="1" applyAlignment="1">
      <alignment horizontal="left" vertical="top" wrapText="1"/>
    </xf>
    <xf numFmtId="0" fontId="9" fillId="0" borderId="3" xfId="0" applyFont="1" applyBorder="1" applyAlignment="1">
      <alignment horizontal="left" vertical="top" wrapText="1"/>
    </xf>
    <xf numFmtId="0" fontId="8" fillId="0" borderId="2" xfId="0" applyFont="1" applyBorder="1" applyAlignment="1">
      <alignment horizontal="center" vertical="top" wrapText="1"/>
    </xf>
    <xf numFmtId="0" fontId="8" fillId="0" borderId="7" xfId="0" applyFont="1" applyBorder="1" applyAlignment="1">
      <alignment horizontal="center" vertical="top" wrapText="1"/>
    </xf>
    <xf numFmtId="0" fontId="8" fillId="0" borderId="3" xfId="0" applyFont="1" applyBorder="1" applyAlignment="1">
      <alignment horizontal="center" vertical="top"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0" borderId="7" xfId="0" applyFont="1" applyBorder="1" applyAlignment="1">
      <alignment horizontal="left"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0" xfId="0" applyAlignment="1">
      <alignment horizontal="center"/>
    </xf>
    <xf numFmtId="0" fontId="0" fillId="0" borderId="2" xfId="0" applyBorder="1"/>
    <xf numFmtId="0" fontId="11" fillId="0" borderId="2" xfId="0" applyFont="1" applyBorder="1" applyAlignment="1">
      <alignment horizontal="justify" vertical="center" wrapText="1"/>
    </xf>
    <xf numFmtId="0" fontId="0" fillId="0" borderId="2" xfId="0" applyBorder="1" applyAlignment="1">
      <alignment horizontal="center" vertical="center"/>
    </xf>
    <xf numFmtId="0" fontId="8" fillId="0" borderId="7" xfId="0" applyFont="1" applyBorder="1" applyAlignment="1">
      <alignment horizontal="center" vertical="center"/>
    </xf>
    <xf numFmtId="0" fontId="0" fillId="0" borderId="1" xfId="0" applyBorder="1" applyAlignment="1">
      <alignment vertical="center"/>
    </xf>
    <xf numFmtId="0" fontId="3" fillId="0" borderId="2" xfId="0" applyFont="1" applyBorder="1" applyAlignment="1">
      <alignment horizontal="justify" vertical="center" wrapText="1"/>
    </xf>
    <xf numFmtId="0" fontId="3" fillId="0" borderId="7" xfId="0" applyFont="1" applyBorder="1" applyAlignment="1">
      <alignment horizontal="justify" vertical="center" wrapText="1"/>
    </xf>
    <xf numFmtId="0" fontId="0" fillId="0" borderId="7" xfId="0" applyBorder="1"/>
    <xf numFmtId="0" fontId="3" fillId="0" borderId="3" xfId="0" applyFont="1" applyBorder="1" applyAlignment="1">
      <alignment horizontal="justify" vertical="center" wrapText="1"/>
    </xf>
    <xf numFmtId="0" fontId="8" fillId="0" borderId="3" xfId="0" applyFont="1" applyBorder="1" applyAlignment="1">
      <alignment horizontal="center" vertical="center"/>
    </xf>
    <xf numFmtId="0" fontId="0" fillId="0" borderId="3" xfId="0" applyBorder="1"/>
    <xf numFmtId="0" fontId="11" fillId="0" borderId="7" xfId="0" applyFont="1" applyBorder="1" applyAlignment="1">
      <alignment horizontal="justify" vertical="center" wrapText="1"/>
    </xf>
    <xf numFmtId="0" fontId="9" fillId="0" borderId="3"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center" vertical="top"/>
    </xf>
    <xf numFmtId="0" fontId="0" fillId="0" borderId="2" xfId="0" applyBorder="1" applyAlignment="1">
      <alignment horizontal="center" vertical="top"/>
    </xf>
    <xf numFmtId="0" fontId="0" fillId="0" borderId="7" xfId="0" applyBorder="1" applyAlignment="1">
      <alignment horizontal="center" vertical="top"/>
    </xf>
    <xf numFmtId="0" fontId="0" fillId="0" borderId="7" xfId="0" applyBorder="1" applyAlignment="1">
      <alignment horizontal="center" vertical="top"/>
    </xf>
    <xf numFmtId="0" fontId="15" fillId="0" borderId="7" xfId="0" applyFont="1" applyBorder="1" applyAlignment="1">
      <alignment horizontal="center" vertical="top"/>
    </xf>
    <xf numFmtId="0" fontId="16" fillId="0" borderId="1" xfId="0" applyFont="1" applyBorder="1" applyAlignment="1">
      <alignment horizontal="center" vertical="center" wrapText="1"/>
    </xf>
    <xf numFmtId="0" fontId="15" fillId="0" borderId="2" xfId="0" applyFont="1" applyBorder="1" applyAlignment="1">
      <alignment horizontal="center" vertical="top"/>
    </xf>
    <xf numFmtId="0" fontId="4" fillId="0" borderId="1" xfId="0" applyFont="1" applyBorder="1" applyAlignment="1">
      <alignment horizontal="center" vertical="center" wrapText="1"/>
    </xf>
    <xf numFmtId="0" fontId="11" fillId="0" borderId="2" xfId="0" applyFont="1" applyBorder="1" applyAlignment="1">
      <alignment horizontal="justify" vertical="top" wrapText="1"/>
    </xf>
    <xf numFmtId="0" fontId="15" fillId="0" borderId="1" xfId="0" applyFont="1" applyBorder="1" applyAlignment="1">
      <alignment horizontal="center" vertical="top"/>
    </xf>
    <xf numFmtId="0" fontId="17" fillId="0" borderId="0" xfId="0" applyFont="1" applyAlignment="1">
      <alignment vertical="center" wrapText="1"/>
    </xf>
    <xf numFmtId="0" fontId="18" fillId="0" borderId="0" xfId="0" applyFont="1" applyAlignment="1">
      <alignment horizontal="right" vertical="center" wrapText="1"/>
    </xf>
    <xf numFmtId="164" fontId="17" fillId="0" borderId="0" xfId="1" applyNumberFormat="1" applyFont="1" applyAlignment="1">
      <alignment horizontal="right" vertical="center" wrapText="1"/>
    </xf>
    <xf numFmtId="0" fontId="18"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49" fontId="19" fillId="0" borderId="1" xfId="0" applyNumberFormat="1"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164" fontId="17" fillId="0" borderId="1" xfId="1" applyNumberFormat="1" applyFont="1" applyBorder="1" applyAlignment="1">
      <alignment vertical="center" wrapText="1"/>
    </xf>
    <xf numFmtId="2" fontId="17" fillId="0" borderId="1" xfId="0" applyNumberFormat="1" applyFont="1" applyBorder="1" applyAlignment="1">
      <alignment vertical="center" wrapText="1"/>
    </xf>
    <xf numFmtId="164" fontId="17" fillId="0" borderId="0" xfId="1" applyNumberFormat="1" applyFont="1" applyBorder="1" applyAlignment="1">
      <alignment vertical="center" wrapText="1"/>
    </xf>
    <xf numFmtId="3" fontId="6" fillId="0" borderId="1" xfId="0" applyNumberFormat="1" applyFont="1" applyBorder="1" applyAlignment="1">
      <alignment horizontal="center" vertical="center" wrapText="1"/>
    </xf>
    <xf numFmtId="3" fontId="0" fillId="0" borderId="2" xfId="0" applyNumberFormat="1" applyBorder="1" applyAlignment="1">
      <alignment horizontal="right" vertical="center"/>
    </xf>
    <xf numFmtId="3" fontId="4" fillId="0" borderId="7" xfId="0" applyNumberFormat="1" applyFont="1" applyBorder="1" applyAlignment="1">
      <alignment horizontal="right" vertical="center" wrapText="1"/>
    </xf>
    <xf numFmtId="3" fontId="0" fillId="0" borderId="1" xfId="0" applyNumberFormat="1" applyBorder="1" applyAlignment="1">
      <alignment horizontal="right" vertical="center"/>
    </xf>
    <xf numFmtId="3" fontId="0" fillId="0" borderId="1" xfId="0" applyNumberFormat="1" applyBorder="1" applyAlignment="1">
      <alignment horizontal="right"/>
    </xf>
    <xf numFmtId="3" fontId="0" fillId="0" borderId="0" xfId="0" applyNumberFormat="1" applyAlignment="1">
      <alignment horizontal="right"/>
    </xf>
    <xf numFmtId="0" fontId="18" fillId="0" borderId="5" xfId="0" applyFont="1" applyBorder="1" applyAlignment="1">
      <alignment horizontal="center" vertical="center" wrapText="1"/>
    </xf>
    <xf numFmtId="49" fontId="20" fillId="0" borderId="5" xfId="0" applyNumberFormat="1" applyFont="1" applyBorder="1" applyAlignment="1">
      <alignment horizontal="center" vertical="center" wrapText="1"/>
    </xf>
    <xf numFmtId="0" fontId="17" fillId="0" borderId="5" xfId="0" applyFont="1" applyBorder="1" applyAlignment="1">
      <alignment horizontal="center" vertical="center" wrapText="1"/>
    </xf>
    <xf numFmtId="164" fontId="17" fillId="0" borderId="5" xfId="1" applyNumberFormat="1" applyFont="1" applyBorder="1" applyAlignment="1">
      <alignment vertical="center" wrapText="1"/>
    </xf>
    <xf numFmtId="3" fontId="0" fillId="0" borderId="7" xfId="0" applyNumberFormat="1" applyBorder="1" applyAlignment="1">
      <alignment horizontal="right" vertical="center"/>
    </xf>
    <xf numFmtId="3" fontId="0" fillId="0" borderId="3" xfId="0" applyNumberFormat="1" applyBorder="1" applyAlignment="1">
      <alignment horizontal="right" vertical="center"/>
    </xf>
    <xf numFmtId="0" fontId="21" fillId="0" borderId="1" xfId="0" applyFont="1" applyBorder="1" applyAlignment="1">
      <alignment horizontal="center"/>
    </xf>
    <xf numFmtId="0" fontId="21" fillId="0" borderId="1" xfId="0" applyFont="1" applyBorder="1"/>
    <xf numFmtId="3" fontId="21" fillId="0" borderId="1" xfId="0" applyNumberFormat="1" applyFont="1" applyBorder="1" applyAlignment="1">
      <alignment horizontal="right"/>
    </xf>
    <xf numFmtId="0" fontId="2" fillId="0" borderId="7" xfId="0" applyFont="1" applyBorder="1" applyAlignment="1">
      <alignment horizontal="left" vertical="center" wrapText="1"/>
    </xf>
    <xf numFmtId="0" fontId="11" fillId="0" borderId="1" xfId="0" applyFont="1" applyBorder="1" applyAlignment="1">
      <alignment horizontal="justify" vertical="top" wrapText="1"/>
    </xf>
    <xf numFmtId="0" fontId="11" fillId="0" borderId="7" xfId="0" applyFont="1" applyBorder="1" applyAlignment="1">
      <alignment vertical="top" wrapText="1"/>
    </xf>
    <xf numFmtId="0" fontId="11" fillId="0" borderId="3" xfId="0" applyFont="1" applyBorder="1" applyAlignment="1">
      <alignment vertical="top" wrapText="1"/>
    </xf>
    <xf numFmtId="0" fontId="11" fillId="0" borderId="1" xfId="0" applyFont="1" applyBorder="1" applyAlignment="1">
      <alignment vertical="top" wrapText="1"/>
    </xf>
    <xf numFmtId="3" fontId="21" fillId="0" borderId="1" xfId="0" applyNumberFormat="1" applyFont="1" applyBorder="1" applyAlignment="1">
      <alignment horizontal="right" vertical="center"/>
    </xf>
    <xf numFmtId="0" fontId="21" fillId="0" borderId="2" xfId="0" applyFont="1" applyBorder="1" applyAlignment="1">
      <alignment horizontal="center" vertical="center"/>
    </xf>
    <xf numFmtId="3" fontId="21" fillId="0" borderId="2" xfId="0" applyNumberFormat="1" applyFont="1" applyBorder="1" applyAlignment="1">
      <alignment horizontal="right" vertical="center"/>
    </xf>
    <xf numFmtId="0" fontId="21" fillId="0" borderId="1" xfId="0" applyFont="1" applyBorder="1" applyAlignment="1">
      <alignment horizontal="center" vertical="center"/>
    </xf>
    <xf numFmtId="0" fontId="1" fillId="0" borderId="1" xfId="0" applyFont="1" applyBorder="1" applyAlignment="1">
      <alignment horizontal="left" vertical="center" wrapText="1"/>
    </xf>
    <xf numFmtId="0" fontId="16" fillId="0" borderId="0" xfId="0" applyFont="1" applyBorder="1" applyAlignment="1">
      <alignment horizontal="center" vertical="center"/>
    </xf>
    <xf numFmtId="0" fontId="1" fillId="0" borderId="0" xfId="0" applyFont="1" applyBorder="1" applyAlignment="1">
      <alignment horizontal="center" vertical="justify"/>
    </xf>
    <xf numFmtId="0" fontId="4" fillId="0" borderId="4" xfId="0" applyFont="1" applyBorder="1" applyAlignment="1">
      <alignment horizontal="center"/>
    </xf>
    <xf numFmtId="0" fontId="22" fillId="0" borderId="4" xfId="0" applyFont="1" applyBorder="1" applyAlignment="1">
      <alignment horizontal="right"/>
    </xf>
    <xf numFmtId="0" fontId="22" fillId="0" borderId="0" xfId="0" applyFont="1" applyBorder="1" applyAlignment="1">
      <alignment horizontal="right"/>
    </xf>
    <xf numFmtId="165" fontId="23" fillId="3" borderId="1" xfId="0" applyNumberFormat="1" applyFont="1" applyFill="1" applyBorder="1" applyAlignment="1">
      <alignment horizontal="center" vertical="center" wrapText="1"/>
    </xf>
    <xf numFmtId="3" fontId="23" fillId="0" borderId="1" xfId="0" applyNumberFormat="1" applyFont="1" applyBorder="1" applyAlignment="1">
      <alignment horizontal="center" vertical="center" wrapText="1"/>
    </xf>
    <xf numFmtId="3" fontId="23" fillId="0" borderId="5" xfId="0" applyNumberFormat="1" applyFont="1" applyBorder="1" applyAlignment="1">
      <alignment horizontal="center" vertical="center" wrapText="1"/>
    </xf>
    <xf numFmtId="3" fontId="23" fillId="0" borderId="0" xfId="0" applyNumberFormat="1" applyFont="1" applyBorder="1" applyAlignment="1">
      <alignment horizontal="center" vertical="center" wrapText="1"/>
    </xf>
    <xf numFmtId="3" fontId="4" fillId="0" borderId="2" xfId="0" applyNumberFormat="1" applyFont="1" applyBorder="1" applyAlignment="1">
      <alignment vertical="center"/>
    </xf>
    <xf numFmtId="0" fontId="4" fillId="0" borderId="2" xfId="0" applyFont="1" applyBorder="1" applyAlignment="1">
      <alignment vertical="center"/>
    </xf>
    <xf numFmtId="3" fontId="4" fillId="0" borderId="0" xfId="0" applyNumberFormat="1" applyFont="1" applyBorder="1" applyAlignment="1">
      <alignment vertical="center"/>
    </xf>
    <xf numFmtId="3" fontId="4" fillId="0" borderId="0" xfId="0" applyNumberFormat="1" applyFont="1"/>
    <xf numFmtId="0" fontId="24" fillId="0" borderId="1" xfId="0" applyFont="1" applyBorder="1" applyAlignment="1">
      <alignment horizontal="justify" vertical="center" wrapText="1"/>
    </xf>
    <xf numFmtId="3" fontId="4" fillId="0" borderId="1" xfId="0" applyNumberFormat="1" applyFont="1" applyBorder="1"/>
    <xf numFmtId="0" fontId="4" fillId="0" borderId="1" xfId="0" applyFont="1" applyBorder="1"/>
    <xf numFmtId="3" fontId="4" fillId="0" borderId="7" xfId="0" applyNumberFormat="1" applyFont="1" applyBorder="1"/>
    <xf numFmtId="3" fontId="4" fillId="0" borderId="8" xfId="0" applyNumberFormat="1" applyFont="1" applyBorder="1"/>
    <xf numFmtId="3" fontId="1" fillId="0" borderId="0" xfId="0" applyNumberFormat="1" applyFont="1"/>
    <xf numFmtId="0" fontId="8" fillId="0" borderId="9" xfId="0" applyFont="1" applyBorder="1" applyAlignment="1">
      <alignment horizontal="center" vertical="center" wrapText="1"/>
    </xf>
    <xf numFmtId="0" fontId="8" fillId="2" borderId="9" xfId="0" applyFont="1" applyFill="1" applyBorder="1" applyAlignment="1">
      <alignment horizontal="left" vertical="center" wrapText="1"/>
    </xf>
    <xf numFmtId="3" fontId="4" fillId="0" borderId="9" xfId="0" applyNumberFormat="1" applyFont="1" applyBorder="1"/>
    <xf numFmtId="0" fontId="4" fillId="0" borderId="9" xfId="0" applyFont="1" applyBorder="1"/>
    <xf numFmtId="0" fontId="8" fillId="0" borderId="10" xfId="0" applyFont="1" applyBorder="1" applyAlignment="1">
      <alignment horizontal="center" vertical="center" wrapText="1"/>
    </xf>
    <xf numFmtId="0" fontId="8" fillId="2" borderId="10" xfId="0" applyFont="1" applyFill="1" applyBorder="1" applyAlignment="1">
      <alignment horizontal="left" vertical="center" wrapText="1"/>
    </xf>
    <xf numFmtId="3" fontId="4" fillId="0" borderId="10" xfId="0" applyNumberFormat="1" applyFont="1" applyBorder="1"/>
    <xf numFmtId="3" fontId="4" fillId="0" borderId="0" xfId="0" applyNumberFormat="1" applyFont="1" applyBorder="1"/>
    <xf numFmtId="0" fontId="8" fillId="0" borderId="8" xfId="0" applyFont="1" applyBorder="1" applyAlignment="1">
      <alignment horizontal="center" vertical="center" wrapText="1"/>
    </xf>
    <xf numFmtId="0" fontId="8" fillId="2" borderId="8" xfId="0" applyFont="1" applyFill="1" applyBorder="1" applyAlignment="1">
      <alignment horizontal="left" vertical="center" wrapText="1"/>
    </xf>
    <xf numFmtId="0" fontId="8" fillId="0" borderId="1" xfId="0" applyFont="1" applyBorder="1" applyAlignment="1">
      <alignment horizontal="justify" vertical="center" wrapText="1"/>
    </xf>
    <xf numFmtId="3" fontId="4" fillId="0" borderId="1" xfId="0" applyNumberFormat="1" applyFont="1" applyBorder="1" applyAlignment="1">
      <alignment vertical="center"/>
    </xf>
    <xf numFmtId="0" fontId="4" fillId="0" borderId="1" xfId="0" applyFont="1" applyBorder="1" applyAlignment="1">
      <alignment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15" fillId="0" borderId="3" xfId="0" applyFont="1" applyBorder="1" applyAlignment="1">
      <alignment horizontal="center" vertical="top"/>
    </xf>
    <xf numFmtId="0" fontId="8" fillId="2" borderId="7" xfId="0" applyFont="1" applyFill="1" applyBorder="1" applyAlignment="1">
      <alignment horizontal="center" vertical="justify" wrapText="1"/>
    </xf>
    <xf numFmtId="0" fontId="3" fillId="0" borderId="7" xfId="0" applyFont="1" applyBorder="1" applyAlignment="1">
      <alignment horizontal="justify" vertical="top" wrapText="1"/>
    </xf>
    <xf numFmtId="3" fontId="21" fillId="0" borderId="7" xfId="0" applyNumberFormat="1" applyFont="1" applyBorder="1" applyAlignment="1">
      <alignment horizontal="right" vertical="center"/>
    </xf>
    <xf numFmtId="3" fontId="25" fillId="0" borderId="2" xfId="0" applyNumberFormat="1" applyFont="1" applyBorder="1" applyAlignment="1">
      <alignment horizontal="right" vertical="center"/>
    </xf>
    <xf numFmtId="0" fontId="3" fillId="0" borderId="2" xfId="0" applyFont="1" applyBorder="1" applyAlignment="1">
      <alignment horizontal="justify" vertical="top" wrapText="1"/>
    </xf>
    <xf numFmtId="0" fontId="26" fillId="2" borderId="9" xfId="0" applyFont="1" applyFill="1" applyBorder="1" applyAlignment="1">
      <alignment horizontal="left" vertical="center" wrapText="1"/>
    </xf>
    <xf numFmtId="3" fontId="0" fillId="0" borderId="9" xfId="0" applyNumberFormat="1" applyBorder="1" applyAlignment="1">
      <alignment horizontal="center" vertical="center"/>
    </xf>
    <xf numFmtId="3" fontId="0" fillId="0" borderId="9" xfId="0" applyNumberFormat="1" applyBorder="1" applyAlignment="1">
      <alignment vertical="center"/>
    </xf>
    <xf numFmtId="0" fontId="27" fillId="2" borderId="11" xfId="0" applyFont="1" applyFill="1" applyBorder="1" applyAlignment="1">
      <alignment horizontal="left" vertical="center" wrapText="1"/>
    </xf>
    <xf numFmtId="3" fontId="0" fillId="0" borderId="11" xfId="0" applyNumberFormat="1" applyBorder="1" applyAlignment="1">
      <alignment horizontal="center" vertical="center"/>
    </xf>
    <xf numFmtId="3" fontId="0" fillId="0" borderId="11" xfId="0" applyNumberFormat="1" applyBorder="1" applyAlignment="1">
      <alignment vertical="center"/>
    </xf>
    <xf numFmtId="0" fontId="10" fillId="0" borderId="1" xfId="0" applyFont="1" applyBorder="1" applyAlignment="1">
      <alignment vertical="center"/>
    </xf>
    <xf numFmtId="0" fontId="8" fillId="2" borderId="1" xfId="0" applyFont="1" applyFill="1" applyBorder="1" applyAlignment="1">
      <alignment horizontal="center" vertical="justify" wrapText="1"/>
    </xf>
    <xf numFmtId="3" fontId="25" fillId="0" borderId="1" xfId="0" applyNumberFormat="1" applyFont="1" applyBorder="1" applyAlignment="1">
      <alignment horizontal="right" vertical="center"/>
    </xf>
    <xf numFmtId="0" fontId="2" fillId="0" borderId="12" xfId="0" applyFont="1" applyBorder="1" applyAlignment="1">
      <alignment horizontal="center" vertical="center" wrapText="1"/>
    </xf>
    <xf numFmtId="0" fontId="21" fillId="0" borderId="7" xfId="0" applyFont="1" applyBorder="1" applyAlignment="1">
      <alignment horizontal="center" vertical="center"/>
    </xf>
    <xf numFmtId="0" fontId="29" fillId="0" borderId="2" xfId="0" applyFont="1" applyBorder="1" applyAlignment="1">
      <alignment horizontal="center" vertical="top"/>
    </xf>
    <xf numFmtId="0" fontId="30" fillId="0" borderId="1" xfId="0" applyFont="1" applyBorder="1"/>
    <xf numFmtId="0" fontId="30" fillId="0" borderId="1" xfId="0" applyFont="1" applyBorder="1" applyAlignment="1">
      <alignment horizontal="center"/>
    </xf>
    <xf numFmtId="3" fontId="30" fillId="0" borderId="1" xfId="0" applyNumberFormat="1" applyFont="1" applyBorder="1" applyAlignment="1">
      <alignment horizontal="right"/>
    </xf>
    <xf numFmtId="0" fontId="11" fillId="0" borderId="2" xfId="0" applyFont="1" applyBorder="1" applyAlignment="1">
      <alignment horizontal="left" vertical="center" wrapText="1"/>
    </xf>
    <xf numFmtId="0" fontId="32" fillId="0" borderId="1" xfId="0" applyFont="1" applyBorder="1" applyAlignment="1">
      <alignment horizontal="center" vertical="center"/>
    </xf>
    <xf numFmtId="3" fontId="32" fillId="0" borderId="1" xfId="0" applyNumberFormat="1" applyFont="1" applyBorder="1" applyAlignment="1">
      <alignment horizontal="right" vertical="center"/>
    </xf>
    <xf numFmtId="0" fontId="11"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31" fillId="2" borderId="2" xfId="0" applyFont="1" applyFill="1" applyBorder="1" applyAlignment="1">
      <alignment horizontal="center" vertical="center" wrapText="1"/>
    </xf>
    <xf numFmtId="3" fontId="32" fillId="0" borderId="2" xfId="0" applyNumberFormat="1" applyFont="1" applyBorder="1" applyAlignment="1">
      <alignment horizontal="right" vertical="center"/>
    </xf>
    <xf numFmtId="0" fontId="29" fillId="0" borderId="7" xfId="0" applyFont="1" applyBorder="1" applyAlignment="1">
      <alignment horizontal="center" vertical="top"/>
    </xf>
    <xf numFmtId="0" fontId="11" fillId="2" borderId="7" xfId="0" applyFont="1" applyFill="1" applyBorder="1" applyAlignment="1">
      <alignment horizontal="center" vertical="center" wrapText="1"/>
    </xf>
    <xf numFmtId="3" fontId="30" fillId="0" borderId="7" xfId="0" applyNumberFormat="1" applyFont="1" applyBorder="1" applyAlignment="1">
      <alignment horizontal="right" vertical="center"/>
    </xf>
    <xf numFmtId="0" fontId="1" fillId="0" borderId="7" xfId="0" applyFont="1" applyBorder="1" applyAlignment="1">
      <alignment horizontal="center" vertical="center" wrapText="1"/>
    </xf>
    <xf numFmtId="3" fontId="1" fillId="0" borderId="7" xfId="0" applyNumberFormat="1" applyFont="1" applyBorder="1" applyAlignment="1">
      <alignment horizontal="right" vertical="center" wrapText="1"/>
    </xf>
    <xf numFmtId="0" fontId="33" fillId="2" borderId="10" xfId="0" applyFont="1" applyFill="1" applyBorder="1" applyAlignment="1">
      <alignment horizontal="left" vertical="center" wrapText="1"/>
    </xf>
    <xf numFmtId="0" fontId="33" fillId="0" borderId="10" xfId="0" applyFont="1" applyBorder="1" applyAlignment="1">
      <alignment horizontal="center" vertical="center" wrapText="1"/>
    </xf>
    <xf numFmtId="0" fontId="33" fillId="0" borderId="8" xfId="0" applyFont="1" applyBorder="1" applyAlignment="1">
      <alignment horizontal="center" vertical="center" wrapText="1"/>
    </xf>
    <xf numFmtId="0" fontId="27" fillId="0" borderId="8" xfId="0" applyFont="1" applyBorder="1" applyAlignment="1">
      <alignment horizontal="center" vertical="center" wrapText="1"/>
    </xf>
    <xf numFmtId="0" fontId="33" fillId="2" borderId="8" xfId="0" applyFont="1" applyFill="1" applyBorder="1" applyAlignment="1">
      <alignment horizontal="left" vertical="center" wrapText="1"/>
    </xf>
    <xf numFmtId="0" fontId="27" fillId="2" borderId="8" xfId="0" applyFont="1" applyFill="1" applyBorder="1" applyAlignment="1">
      <alignment horizontal="left" vertical="center" wrapText="1"/>
    </xf>
    <xf numFmtId="3" fontId="1" fillId="0" borderId="1" xfId="0" applyNumberFormat="1" applyFont="1" applyBorder="1" applyAlignment="1">
      <alignment vertical="center"/>
    </xf>
    <xf numFmtId="0" fontId="1" fillId="0" borderId="1" xfId="0" applyFont="1" applyBorder="1" applyAlignment="1">
      <alignment vertical="center"/>
    </xf>
    <xf numFmtId="166" fontId="9" fillId="0" borderId="7" xfId="0" applyNumberFormat="1" applyFont="1" applyBorder="1" applyAlignment="1">
      <alignment horizontal="center" vertical="center" wrapText="1"/>
    </xf>
    <xf numFmtId="0" fontId="32" fillId="0" borderId="2" xfId="0" applyFont="1" applyBorder="1" applyAlignment="1">
      <alignment horizontal="center" vertical="center"/>
    </xf>
    <xf numFmtId="0" fontId="16" fillId="0" borderId="2" xfId="0" applyFont="1" applyBorder="1" applyAlignment="1">
      <alignment horizontal="left" vertical="center" wrapText="1"/>
    </xf>
    <xf numFmtId="0" fontId="16" fillId="0" borderId="7" xfId="0" applyFont="1" applyBorder="1" applyAlignment="1">
      <alignment horizontal="left" vertical="center" wrapText="1"/>
    </xf>
    <xf numFmtId="0" fontId="11" fillId="0" borderId="3" xfId="0" applyFont="1" applyBorder="1" applyAlignment="1">
      <alignment horizontal="justify" vertical="center" wrapText="1"/>
    </xf>
    <xf numFmtId="3" fontId="4" fillId="0" borderId="3" xfId="0" applyNumberFormat="1" applyFont="1" applyBorder="1" applyAlignment="1">
      <alignment horizontal="right" vertical="center" wrapText="1"/>
    </xf>
    <xf numFmtId="3" fontId="32" fillId="0" borderId="7" xfId="0" applyNumberFormat="1" applyFont="1" applyBorder="1" applyAlignment="1">
      <alignment horizontal="right" vertical="center"/>
    </xf>
    <xf numFmtId="0" fontId="29" fillId="0" borderId="3" xfId="0" applyFont="1" applyBorder="1" applyAlignment="1">
      <alignment horizontal="center" vertical="top"/>
    </xf>
    <xf numFmtId="0" fontId="4" fillId="0" borderId="3" xfId="0" applyFont="1" applyBorder="1" applyAlignment="1">
      <alignment horizontal="center"/>
    </xf>
    <xf numFmtId="3" fontId="30" fillId="0" borderId="3" xfId="0" applyNumberFormat="1" applyFont="1" applyBorder="1" applyAlignment="1">
      <alignment horizontal="right" vertical="center"/>
    </xf>
    <xf numFmtId="0" fontId="30" fillId="0" borderId="2" xfId="0" applyFont="1" applyBorder="1" applyAlignment="1">
      <alignment horizontal="center" vertical="top"/>
    </xf>
    <xf numFmtId="3" fontId="23" fillId="0" borderId="2" xfId="0" applyNumberFormat="1"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33" fillId="0" borderId="1" xfId="0" applyFont="1" applyBorder="1" applyAlignment="1">
      <alignment horizontal="center" vertical="center" wrapText="1"/>
    </xf>
    <xf numFmtId="3" fontId="22" fillId="0" borderId="1" xfId="0" applyNumberFormat="1" applyFont="1" applyBorder="1"/>
    <xf numFmtId="3" fontId="22" fillId="0" borderId="1" xfId="0" applyNumberFormat="1" applyFont="1" applyBorder="1" applyAlignment="1">
      <alignment vertical="center"/>
    </xf>
    <xf numFmtId="3" fontId="4" fillId="0" borderId="1" xfId="0" applyNumberFormat="1" applyFont="1" applyBorder="1" applyAlignment="1">
      <alignment horizontal="right" vertical="center"/>
    </xf>
    <xf numFmtId="0" fontId="33" fillId="0" borderId="2" xfId="0" applyFont="1" applyBorder="1" applyAlignment="1">
      <alignment horizontal="center" vertical="center" wrapText="1"/>
    </xf>
    <xf numFmtId="3" fontId="22" fillId="0" borderId="2" xfId="0" applyNumberFormat="1" applyFont="1" applyBorder="1"/>
    <xf numFmtId="3" fontId="22" fillId="0" borderId="2" xfId="0" applyNumberFormat="1" applyFont="1" applyBorder="1" applyAlignment="1">
      <alignment vertical="center"/>
    </xf>
    <xf numFmtId="3" fontId="22" fillId="0" borderId="10" xfId="0" applyNumberFormat="1" applyFont="1" applyBorder="1"/>
    <xf numFmtId="3" fontId="22" fillId="0" borderId="10" xfId="0" applyNumberFormat="1" applyFont="1" applyBorder="1" applyAlignment="1">
      <alignment vertical="center"/>
    </xf>
    <xf numFmtId="0" fontId="27" fillId="2" borderId="2" xfId="0" applyFont="1" applyFill="1" applyBorder="1" applyAlignment="1">
      <alignment horizontal="left" vertical="justify" wrapText="1"/>
    </xf>
    <xf numFmtId="0" fontId="27" fillId="2" borderId="1" xfId="0" applyFont="1" applyFill="1" applyBorder="1" applyAlignment="1">
      <alignment horizontal="left" vertical="justify" wrapText="1"/>
    </xf>
    <xf numFmtId="0" fontId="33" fillId="2" borderId="2" xfId="0" applyFont="1" applyFill="1" applyBorder="1" applyAlignment="1">
      <alignment horizontal="left" vertical="justify" wrapText="1"/>
    </xf>
    <xf numFmtId="0" fontId="33" fillId="2" borderId="10" xfId="0" applyFont="1" applyFill="1" applyBorder="1" applyAlignment="1">
      <alignment horizontal="left" vertical="justify" wrapText="1"/>
    </xf>
    <xf numFmtId="0" fontId="34" fillId="0" borderId="1" xfId="0" applyFont="1" applyBorder="1" applyAlignment="1">
      <alignment horizontal="justify" vertical="center" wrapText="1"/>
    </xf>
    <xf numFmtId="0" fontId="28"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24" fillId="2" borderId="10" xfId="0" applyFont="1" applyFill="1" applyBorder="1" applyAlignment="1">
      <alignment horizontal="left" vertical="justify" wrapText="1"/>
    </xf>
    <xf numFmtId="0" fontId="35" fillId="0" borderId="10" xfId="0" applyFont="1" applyBorder="1" applyAlignment="1">
      <alignment horizontal="center" vertical="center" wrapText="1"/>
    </xf>
    <xf numFmtId="3" fontId="36" fillId="3" borderId="10" xfId="0" applyNumberFormat="1" applyFont="1" applyFill="1" applyBorder="1" applyAlignment="1">
      <alignment horizontal="right" vertical="center" wrapText="1"/>
    </xf>
    <xf numFmtId="3" fontId="36" fillId="0" borderId="10" xfId="0" applyNumberFormat="1" applyFont="1" applyBorder="1" applyAlignment="1">
      <alignment horizontal="right" vertical="center" wrapText="1"/>
    </xf>
    <xf numFmtId="3" fontId="24" fillId="0" borderId="10" xfId="0" applyNumberFormat="1" applyFont="1" applyBorder="1" applyAlignment="1">
      <alignment vertical="center"/>
    </xf>
    <xf numFmtId="0" fontId="24" fillId="2" borderId="11" xfId="0" applyFont="1" applyFill="1" applyBorder="1" applyAlignment="1">
      <alignment horizontal="left" vertical="justify" wrapText="1"/>
    </xf>
    <xf numFmtId="0" fontId="35" fillId="0" borderId="11" xfId="0" applyFont="1" applyBorder="1" applyAlignment="1">
      <alignment horizontal="center" vertical="center" wrapText="1"/>
    </xf>
    <xf numFmtId="3" fontId="36" fillId="3" borderId="11" xfId="0" applyNumberFormat="1" applyFont="1" applyFill="1" applyBorder="1" applyAlignment="1">
      <alignment horizontal="right" vertical="center" wrapText="1"/>
    </xf>
    <xf numFmtId="3" fontId="36" fillId="0" borderId="11" xfId="0" applyNumberFormat="1" applyFont="1" applyBorder="1" applyAlignment="1">
      <alignment horizontal="right" vertical="center" wrapText="1"/>
    </xf>
    <xf numFmtId="3" fontId="24" fillId="0" borderId="11" xfId="0" applyNumberFormat="1" applyFont="1" applyBorder="1" applyAlignment="1">
      <alignment vertical="center"/>
    </xf>
    <xf numFmtId="0" fontId="37" fillId="2" borderId="1" xfId="0" applyFont="1" applyFill="1" applyBorder="1" applyAlignment="1">
      <alignment horizontal="center" vertical="center" wrapText="1"/>
    </xf>
    <xf numFmtId="0" fontId="37" fillId="0" borderId="1" xfId="0" applyFont="1" applyBorder="1" applyAlignment="1">
      <alignment horizontal="center" vertical="center" wrapText="1"/>
    </xf>
    <xf numFmtId="165" fontId="38" fillId="3" borderId="1" xfId="0" applyNumberFormat="1" applyFont="1" applyFill="1" applyBorder="1" applyAlignment="1">
      <alignment horizontal="center" vertical="center" wrapText="1"/>
    </xf>
    <xf numFmtId="3" fontId="38" fillId="0" borderId="1" xfId="0" applyNumberFormat="1" applyFont="1" applyBorder="1" applyAlignment="1">
      <alignment horizontal="center" vertical="center" wrapText="1"/>
    </xf>
    <xf numFmtId="3" fontId="38" fillId="0" borderId="5" xfId="0" applyNumberFormat="1" applyFont="1" applyBorder="1" applyAlignment="1">
      <alignment horizontal="center" vertical="center" wrapText="1"/>
    </xf>
    <xf numFmtId="0" fontId="37" fillId="2" borderId="2" xfId="0" applyFont="1" applyFill="1" applyBorder="1" applyAlignment="1">
      <alignment horizontal="center" vertical="center" wrapText="1"/>
    </xf>
    <xf numFmtId="0" fontId="37" fillId="2" borderId="2" xfId="0" applyFont="1" applyFill="1" applyBorder="1" applyAlignment="1">
      <alignment horizontal="left" vertical="center" wrapText="1"/>
    </xf>
    <xf numFmtId="0" fontId="37" fillId="0" borderId="2" xfId="0" applyFont="1" applyBorder="1" applyAlignment="1">
      <alignment horizontal="center" vertical="center" wrapText="1"/>
    </xf>
    <xf numFmtId="165" fontId="38" fillId="3" borderId="2" xfId="0" applyNumberFormat="1" applyFont="1" applyFill="1" applyBorder="1" applyAlignment="1">
      <alignment horizontal="center" vertical="center" wrapText="1"/>
    </xf>
    <xf numFmtId="3" fontId="38" fillId="0" borderId="2" xfId="0" applyNumberFormat="1" applyFont="1" applyBorder="1" applyAlignment="1">
      <alignment horizontal="center" vertical="center" wrapText="1"/>
    </xf>
    <xf numFmtId="3" fontId="38" fillId="0" borderId="13" xfId="0" applyNumberFormat="1" applyFont="1" applyBorder="1" applyAlignment="1">
      <alignment horizontal="center" vertical="center" wrapText="1"/>
    </xf>
    <xf numFmtId="0" fontId="39" fillId="2" borderId="2" xfId="0" applyFont="1" applyFill="1" applyBorder="1" applyAlignment="1">
      <alignment horizontal="center" vertical="center" wrapText="1"/>
    </xf>
    <xf numFmtId="0" fontId="39" fillId="2" borderId="2" xfId="0" applyFont="1" applyFill="1" applyBorder="1" applyAlignment="1">
      <alignment horizontal="left" vertical="center" wrapText="1"/>
    </xf>
    <xf numFmtId="0" fontId="37" fillId="2" borderId="10" xfId="0" applyFont="1" applyFill="1" applyBorder="1" applyAlignment="1">
      <alignment horizontal="center" vertical="center" wrapText="1"/>
    </xf>
    <xf numFmtId="0" fontId="40" fillId="2" borderId="10" xfId="0" applyFont="1" applyFill="1" applyBorder="1" applyAlignment="1">
      <alignment horizontal="left" vertical="center" wrapText="1"/>
    </xf>
    <xf numFmtId="0" fontId="39" fillId="0" borderId="10" xfId="0" applyFont="1" applyBorder="1" applyAlignment="1">
      <alignment horizontal="center" vertical="center" wrapText="1"/>
    </xf>
    <xf numFmtId="3" fontId="0" fillId="0" borderId="10" xfId="0" applyNumberFormat="1" applyFont="1" applyBorder="1" applyAlignment="1">
      <alignment vertical="center"/>
    </xf>
    <xf numFmtId="0" fontId="37" fillId="2" borderId="11" xfId="0" applyFont="1" applyFill="1" applyBorder="1" applyAlignment="1">
      <alignment horizontal="center" vertical="center" wrapText="1"/>
    </xf>
    <xf numFmtId="0" fontId="40" fillId="2" borderId="11" xfId="0" applyFont="1" applyFill="1" applyBorder="1" applyAlignment="1">
      <alignment horizontal="left" vertical="center" wrapText="1"/>
    </xf>
    <xf numFmtId="0" fontId="39" fillId="0" borderId="11" xfId="0" applyFont="1" applyBorder="1" applyAlignment="1">
      <alignment horizontal="center" vertical="center" wrapText="1"/>
    </xf>
    <xf numFmtId="3" fontId="0" fillId="0" borderId="11" xfId="0" applyNumberFormat="1" applyFont="1" applyBorder="1" applyAlignment="1">
      <alignment vertical="center"/>
    </xf>
    <xf numFmtId="0" fontId="39" fillId="2" borderId="1" xfId="0" applyFont="1" applyFill="1" applyBorder="1" applyAlignment="1">
      <alignment horizontal="center" vertical="center" wrapText="1"/>
    </xf>
    <xf numFmtId="0" fontId="39" fillId="2" borderId="1" xfId="0" applyFont="1" applyFill="1" applyBorder="1" applyAlignment="1">
      <alignment horizontal="left" vertical="center" wrapText="1"/>
    </xf>
    <xf numFmtId="0" fontId="39" fillId="0" borderId="1" xfId="0" applyFont="1" applyBorder="1" applyAlignment="1">
      <alignment horizontal="center" vertical="center" wrapText="1"/>
    </xf>
    <xf numFmtId="3" fontId="36" fillId="0" borderId="1" xfId="0" applyNumberFormat="1" applyFont="1" applyBorder="1" applyAlignment="1">
      <alignment horizontal="right" vertical="center" wrapText="1"/>
    </xf>
    <xf numFmtId="3" fontId="0" fillId="0" borderId="1" xfId="0" applyNumberFormat="1" applyFont="1" applyBorder="1" applyAlignment="1">
      <alignment vertical="center"/>
    </xf>
    <xf numFmtId="0" fontId="36" fillId="0" borderId="1" xfId="0" applyFont="1" applyBorder="1" applyAlignment="1">
      <alignment horizontal="justify" vertical="center" wrapText="1"/>
    </xf>
    <xf numFmtId="3" fontId="0" fillId="0" borderId="1" xfId="0" applyNumberFormat="1" applyFont="1" applyBorder="1"/>
    <xf numFmtId="0" fontId="0" fillId="0" borderId="1" xfId="0" applyFont="1" applyBorder="1"/>
    <xf numFmtId="3" fontId="36" fillId="3" borderId="1" xfId="0" applyNumberFormat="1" applyFont="1" applyFill="1" applyBorder="1" applyAlignment="1">
      <alignment horizontal="right" vertical="center" wrapText="1"/>
    </xf>
    <xf numFmtId="0" fontId="37"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0" fillId="0" borderId="1" xfId="0" applyFont="1" applyBorder="1" applyAlignment="1">
      <alignment vertical="center"/>
    </xf>
    <xf numFmtId="0" fontId="41" fillId="0" borderId="1" xfId="0" applyFont="1" applyBorder="1" applyAlignment="1">
      <alignment horizontal="center" vertical="center" wrapText="1"/>
    </xf>
    <xf numFmtId="0" fontId="41" fillId="2" borderId="1" xfId="0" applyFont="1" applyFill="1" applyBorder="1" applyAlignment="1">
      <alignment horizontal="left" vertical="center" wrapText="1"/>
    </xf>
    <xf numFmtId="0" fontId="0" fillId="0" borderId="0" xfId="0" applyFont="1"/>
    <xf numFmtId="3" fontId="42" fillId="0" borderId="0" xfId="0" applyNumberFormat="1" applyFont="1"/>
    <xf numFmtId="3" fontId="0" fillId="0" borderId="0" xfId="0" applyNumberFormat="1" applyFont="1"/>
    <xf numFmtId="0" fontId="0" fillId="0" borderId="7" xfId="0" applyBorder="1" applyAlignment="1">
      <alignment horizontal="center" vertical="top"/>
    </xf>
    <xf numFmtId="0" fontId="11" fillId="0" borderId="2" xfId="0" applyFont="1" applyBorder="1" applyAlignment="1">
      <alignment horizontal="left" vertical="top" wrapText="1"/>
    </xf>
    <xf numFmtId="0" fontId="0" fillId="0" borderId="2" xfId="0" applyBorder="1" applyAlignment="1">
      <alignment horizontal="center" vertical="top"/>
    </xf>
    <xf numFmtId="0" fontId="0" fillId="0" borderId="7" xfId="0" applyBorder="1" applyAlignment="1">
      <alignment horizontal="center" vertical="top"/>
    </xf>
    <xf numFmtId="49" fontId="43" fillId="0" borderId="0" xfId="0" applyNumberFormat="1" applyFont="1" applyAlignment="1">
      <alignment vertical="center"/>
    </xf>
    <xf numFmtId="0" fontId="40" fillId="0" borderId="2" xfId="0" applyFont="1" applyBorder="1" applyAlignment="1">
      <alignment horizontal="center" vertical="center"/>
    </xf>
    <xf numFmtId="0" fontId="0" fillId="0" borderId="3" xfId="0" applyBorder="1" applyAlignment="1">
      <alignment horizontal="center"/>
    </xf>
    <xf numFmtId="0" fontId="15" fillId="0" borderId="2" xfId="0" applyFont="1" applyBorder="1" applyAlignment="1">
      <alignment horizontal="center" vertical="top"/>
    </xf>
    <xf numFmtId="0" fontId="15" fillId="0" borderId="7" xfId="0" applyFont="1" applyBorder="1" applyAlignment="1">
      <alignment horizontal="center" vertical="top"/>
    </xf>
    <xf numFmtId="0" fontId="0" fillId="0" borderId="2" xfId="0" applyBorder="1" applyAlignment="1">
      <alignment horizontal="center" vertical="top"/>
    </xf>
    <xf numFmtId="0" fontId="0" fillId="0" borderId="7" xfId="0" applyBorder="1" applyAlignment="1">
      <alignment horizontal="center" vertical="top"/>
    </xf>
    <xf numFmtId="0" fontId="8" fillId="0" borderId="2" xfId="0" applyFont="1" applyBorder="1" applyAlignment="1">
      <alignment horizontal="center" vertical="top" wrapText="1"/>
    </xf>
    <xf numFmtId="0" fontId="8" fillId="0" borderId="7" xfId="0" applyFont="1" applyBorder="1" applyAlignment="1">
      <alignment horizontal="center" vertical="top" wrapText="1"/>
    </xf>
    <xf numFmtId="0" fontId="8" fillId="0" borderId="3" xfId="0" applyFont="1" applyBorder="1" applyAlignment="1">
      <alignment horizontal="center" vertical="top" wrapText="1"/>
    </xf>
    <xf numFmtId="0" fontId="11" fillId="0" borderId="2" xfId="0" applyFont="1" applyBorder="1" applyAlignment="1">
      <alignment horizontal="left" vertical="top"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top" wrapText="1"/>
    </xf>
    <xf numFmtId="0" fontId="9" fillId="0" borderId="7" xfId="0" applyFont="1" applyBorder="1" applyAlignment="1">
      <alignment horizontal="left" vertical="top" wrapText="1"/>
    </xf>
    <xf numFmtId="0" fontId="9" fillId="0" borderId="3" xfId="0" applyFont="1" applyBorder="1" applyAlignment="1">
      <alignment horizontal="left" vertical="top"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2" xfId="0" applyFont="1" applyBorder="1" applyAlignment="1">
      <alignment horizontal="center" vertical="center" wrapText="1"/>
    </xf>
    <xf numFmtId="3" fontId="4" fillId="0" borderId="4" xfId="0" applyNumberFormat="1" applyFont="1" applyBorder="1" applyAlignment="1">
      <alignment horizontal="right"/>
    </xf>
    <xf numFmtId="3" fontId="23" fillId="3" borderId="1" xfId="0" applyNumberFormat="1" applyFont="1" applyFill="1" applyBorder="1" applyAlignment="1">
      <alignment horizontal="right" vertical="center" wrapText="1"/>
    </xf>
    <xf numFmtId="3" fontId="23" fillId="3" borderId="2" xfId="0" applyNumberFormat="1" applyFont="1" applyFill="1" applyBorder="1" applyAlignment="1">
      <alignment horizontal="right" vertical="center" wrapText="1"/>
    </xf>
    <xf numFmtId="3" fontId="28" fillId="3" borderId="1" xfId="0" applyNumberFormat="1" applyFont="1" applyFill="1" applyBorder="1" applyAlignment="1">
      <alignment horizontal="right" vertical="center" wrapText="1"/>
    </xf>
    <xf numFmtId="3" fontId="4" fillId="0" borderId="1" xfId="0" applyNumberFormat="1" applyFont="1" applyBorder="1" applyAlignment="1">
      <alignment horizontal="right"/>
    </xf>
    <xf numFmtId="3" fontId="22" fillId="0" borderId="1" xfId="0" applyNumberFormat="1" applyFont="1" applyBorder="1" applyAlignment="1">
      <alignment horizontal="right" vertical="center"/>
    </xf>
    <xf numFmtId="3" fontId="22" fillId="0" borderId="1" xfId="0" applyNumberFormat="1" applyFont="1" applyBorder="1" applyAlignment="1">
      <alignment horizontal="right"/>
    </xf>
    <xf numFmtId="3" fontId="22" fillId="0" borderId="2" xfId="0" applyNumberFormat="1" applyFont="1" applyBorder="1" applyAlignment="1">
      <alignment horizontal="right"/>
    </xf>
    <xf numFmtId="3" fontId="22" fillId="0" borderId="10" xfId="0" applyNumberFormat="1" applyFont="1" applyBorder="1" applyAlignment="1">
      <alignment horizontal="right"/>
    </xf>
    <xf numFmtId="3" fontId="4" fillId="0" borderId="0" xfId="0" applyNumberFormat="1" applyFont="1" applyAlignment="1">
      <alignment horizontal="right"/>
    </xf>
    <xf numFmtId="3" fontId="28" fillId="0" borderId="1" xfId="0" applyNumberFormat="1" applyFont="1" applyBorder="1" applyAlignment="1">
      <alignment horizontal="right" vertical="center" wrapText="1"/>
    </xf>
    <xf numFmtId="0" fontId="3" fillId="0" borderId="10" xfId="0" applyFont="1" applyBorder="1" applyAlignment="1">
      <alignment horizontal="center" vertical="center" wrapText="1"/>
    </xf>
    <xf numFmtId="0" fontId="3" fillId="2" borderId="10" xfId="0" applyFont="1" applyFill="1" applyBorder="1" applyAlignment="1">
      <alignment horizontal="left" vertical="justify" wrapText="1"/>
    </xf>
    <xf numFmtId="3" fontId="3" fillId="0" borderId="10" xfId="0" applyNumberFormat="1" applyFont="1" applyBorder="1" applyAlignment="1">
      <alignment horizontal="right"/>
    </xf>
    <xf numFmtId="3" fontId="3" fillId="0" borderId="10" xfId="0" applyNumberFormat="1" applyFont="1" applyBorder="1"/>
    <xf numFmtId="3" fontId="3" fillId="0" borderId="10" xfId="0" applyNumberFormat="1" applyFont="1" applyBorder="1" applyAlignment="1">
      <alignment vertical="center"/>
    </xf>
    <xf numFmtId="0" fontId="3" fillId="0" borderId="11" xfId="0" applyFont="1" applyBorder="1" applyAlignment="1">
      <alignment horizontal="center" vertical="center" wrapText="1"/>
    </xf>
    <xf numFmtId="0" fontId="3" fillId="2" borderId="11" xfId="0" applyFont="1" applyFill="1" applyBorder="1" applyAlignment="1">
      <alignment horizontal="left" vertical="justify" wrapText="1"/>
    </xf>
    <xf numFmtId="3" fontId="3" fillId="0" borderId="11" xfId="0" applyNumberFormat="1" applyFont="1" applyBorder="1" applyAlignment="1">
      <alignment horizontal="right"/>
    </xf>
    <xf numFmtId="3" fontId="3" fillId="0" borderId="11" xfId="0" applyNumberFormat="1" applyFont="1" applyBorder="1"/>
    <xf numFmtId="166" fontId="4" fillId="0" borderId="4" xfId="0" applyNumberFormat="1" applyFont="1" applyBorder="1" applyAlignment="1">
      <alignment horizontal="center"/>
    </xf>
    <xf numFmtId="166" fontId="38" fillId="0" borderId="1" xfId="0" applyNumberFormat="1" applyFont="1" applyBorder="1" applyAlignment="1">
      <alignment horizontal="center" vertical="center" wrapText="1"/>
    </xf>
    <xf numFmtId="166" fontId="4" fillId="0" borderId="0" xfId="0" applyNumberFormat="1" applyFont="1"/>
    <xf numFmtId="166" fontId="4" fillId="0" borderId="1" xfId="0" applyNumberFormat="1" applyFont="1" applyBorder="1" applyAlignment="1">
      <alignment vertical="center"/>
    </xf>
    <xf numFmtId="166" fontId="22" fillId="0" borderId="1" xfId="0" applyNumberFormat="1" applyFont="1" applyBorder="1" applyAlignment="1">
      <alignment vertical="center"/>
    </xf>
    <xf numFmtId="3" fontId="20" fillId="0" borderId="10" xfId="0" applyNumberFormat="1" applyFont="1" applyBorder="1" applyAlignment="1">
      <alignment vertical="center"/>
    </xf>
    <xf numFmtId="0" fontId="1" fillId="0" borderId="2" xfId="0" applyFont="1" applyBorder="1" applyAlignment="1">
      <alignment horizontal="center" vertical="center" wrapText="1"/>
    </xf>
    <xf numFmtId="0" fontId="17" fillId="3" borderId="1" xfId="0" applyFont="1" applyFill="1" applyBorder="1" applyAlignment="1">
      <alignment horizontal="justify" vertical="center" wrapText="1"/>
    </xf>
    <xf numFmtId="0" fontId="17" fillId="0" borderId="0" xfId="0" applyFont="1"/>
    <xf numFmtId="0" fontId="17" fillId="0" borderId="4" xfId="0" applyFont="1" applyBorder="1" applyAlignment="1">
      <alignment horizontal="center"/>
    </xf>
    <xf numFmtId="3" fontId="17" fillId="0" borderId="4" xfId="0" applyNumberFormat="1" applyFont="1" applyBorder="1" applyAlignment="1">
      <alignment horizontal="right"/>
    </xf>
    <xf numFmtId="0" fontId="20" fillId="0" borderId="4" xfId="0" applyFont="1" applyBorder="1" applyAlignment="1">
      <alignment horizontal="right"/>
    </xf>
    <xf numFmtId="0" fontId="18"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horizontal="left" vertical="justify" wrapText="1"/>
    </xf>
    <xf numFmtId="0" fontId="18" fillId="0" borderId="2" xfId="0" applyFont="1" applyBorder="1" applyAlignment="1">
      <alignment horizontal="center" vertical="center" wrapText="1"/>
    </xf>
    <xf numFmtId="0" fontId="18" fillId="2" borderId="10" xfId="0" applyFont="1" applyFill="1" applyBorder="1" applyAlignment="1">
      <alignment horizontal="center" vertical="center" wrapText="1"/>
    </xf>
    <xf numFmtId="0" fontId="17" fillId="2" borderId="10" xfId="0" applyFont="1" applyFill="1" applyBorder="1" applyAlignment="1">
      <alignment horizontal="left" vertical="justify" wrapText="1"/>
    </xf>
    <xf numFmtId="0" fontId="18" fillId="0" borderId="10" xfId="0" applyFont="1" applyBorder="1" applyAlignment="1">
      <alignment horizontal="center" vertical="center" wrapText="1"/>
    </xf>
    <xf numFmtId="3" fontId="28" fillId="3" borderId="10" xfId="0" applyNumberFormat="1" applyFont="1" applyFill="1" applyBorder="1" applyAlignment="1">
      <alignment horizontal="right" vertical="center" wrapText="1"/>
    </xf>
    <xf numFmtId="3" fontId="28" fillId="0" borderId="10" xfId="0" applyNumberFormat="1" applyFont="1" applyBorder="1" applyAlignment="1">
      <alignment horizontal="right" vertical="center" wrapText="1"/>
    </xf>
    <xf numFmtId="3" fontId="17" fillId="0" borderId="10" xfId="0" applyNumberFormat="1" applyFont="1" applyBorder="1" applyAlignment="1">
      <alignment vertical="center"/>
    </xf>
    <xf numFmtId="0" fontId="18" fillId="2" borderId="11" xfId="0" applyFont="1" applyFill="1" applyBorder="1" applyAlignment="1">
      <alignment horizontal="center" vertical="center" wrapText="1"/>
    </xf>
    <xf numFmtId="0" fontId="17" fillId="2" borderId="11" xfId="0" applyFont="1" applyFill="1" applyBorder="1" applyAlignment="1">
      <alignment horizontal="left" vertical="justify" wrapText="1"/>
    </xf>
    <xf numFmtId="0" fontId="18" fillId="0" borderId="11" xfId="0" applyFont="1" applyBorder="1" applyAlignment="1">
      <alignment horizontal="center" vertical="center" wrapText="1"/>
    </xf>
    <xf numFmtId="3" fontId="28" fillId="3" borderId="11" xfId="0" applyNumberFormat="1" applyFont="1" applyFill="1" applyBorder="1" applyAlignment="1">
      <alignment horizontal="right" vertical="center" wrapText="1"/>
    </xf>
    <xf numFmtId="3" fontId="28" fillId="0" borderId="11" xfId="0" applyNumberFormat="1" applyFont="1" applyBorder="1" applyAlignment="1">
      <alignment horizontal="right" vertical="center" wrapText="1"/>
    </xf>
    <xf numFmtId="3" fontId="17" fillId="0" borderId="11" xfId="0" applyNumberFormat="1" applyFont="1" applyBorder="1" applyAlignment="1">
      <alignment vertical="center"/>
    </xf>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justify" wrapText="1"/>
    </xf>
    <xf numFmtId="3" fontId="17" fillId="0" borderId="1" xfId="0" applyNumberFormat="1" applyFont="1" applyBorder="1" applyAlignment="1">
      <alignment vertical="center"/>
    </xf>
    <xf numFmtId="3" fontId="17" fillId="0" borderId="1" xfId="0" applyNumberFormat="1" applyFont="1" applyBorder="1" applyAlignment="1">
      <alignment horizontal="right" vertical="center"/>
    </xf>
    <xf numFmtId="0" fontId="17" fillId="0" borderId="1" xfId="0" applyFont="1" applyBorder="1" applyAlignment="1">
      <alignment vertical="center"/>
    </xf>
    <xf numFmtId="0" fontId="17" fillId="0" borderId="1" xfId="0" applyFont="1" applyBorder="1"/>
    <xf numFmtId="3" fontId="17" fillId="0" borderId="1" xfId="0" applyNumberFormat="1" applyFont="1" applyBorder="1"/>
    <xf numFmtId="3" fontId="17" fillId="0" borderId="1" xfId="0" applyNumberFormat="1" applyFont="1" applyBorder="1" applyAlignment="1">
      <alignment horizontal="right"/>
    </xf>
    <xf numFmtId="0" fontId="20" fillId="0" borderId="1" xfId="0" applyFont="1" applyBorder="1" applyAlignment="1">
      <alignment horizontal="center" vertical="center" wrapText="1"/>
    </xf>
    <xf numFmtId="3" fontId="20" fillId="0" borderId="1" xfId="0" applyNumberFormat="1" applyFont="1" applyBorder="1" applyAlignment="1">
      <alignment horizontal="right" vertical="center"/>
    </xf>
    <xf numFmtId="3" fontId="20" fillId="0" borderId="1" xfId="0" applyNumberFormat="1" applyFont="1" applyBorder="1" applyAlignment="1">
      <alignment vertical="center"/>
    </xf>
    <xf numFmtId="3" fontId="20" fillId="0" borderId="1" xfId="0" applyNumberFormat="1" applyFont="1" applyBorder="1"/>
    <xf numFmtId="3" fontId="20" fillId="0" borderId="1" xfId="0" applyNumberFormat="1" applyFont="1" applyBorder="1" applyAlignment="1">
      <alignment horizontal="right"/>
    </xf>
    <xf numFmtId="0" fontId="20" fillId="0" borderId="2" xfId="0" applyFont="1" applyBorder="1" applyAlignment="1">
      <alignment horizontal="center" vertical="center" wrapText="1"/>
    </xf>
    <xf numFmtId="0" fontId="20" fillId="2" borderId="2" xfId="0" applyFont="1" applyFill="1" applyBorder="1" applyAlignment="1">
      <alignment horizontal="left" vertical="justify" wrapText="1"/>
    </xf>
    <xf numFmtId="3" fontId="20" fillId="0" borderId="2" xfId="0" applyNumberFormat="1" applyFont="1" applyBorder="1" applyAlignment="1">
      <alignment horizontal="right"/>
    </xf>
    <xf numFmtId="3" fontId="20" fillId="0" borderId="2" xfId="0" applyNumberFormat="1" applyFont="1" applyBorder="1"/>
    <xf numFmtId="3" fontId="20" fillId="0" borderId="2" xfId="0" applyNumberFormat="1" applyFont="1" applyBorder="1" applyAlignment="1">
      <alignment vertical="center"/>
    </xf>
    <xf numFmtId="0" fontId="20" fillId="0" borderId="10" xfId="0" applyFont="1" applyBorder="1" applyAlignment="1">
      <alignment horizontal="center" vertical="center" wrapText="1"/>
    </xf>
    <xf numFmtId="0" fontId="20" fillId="2" borderId="10" xfId="0" applyFont="1" applyFill="1" applyBorder="1" applyAlignment="1">
      <alignment horizontal="left" vertical="justify" wrapText="1"/>
    </xf>
    <xf numFmtId="3" fontId="20" fillId="0" borderId="10" xfId="0" applyNumberFormat="1" applyFont="1" applyBorder="1" applyAlignment="1">
      <alignment horizontal="right"/>
    </xf>
    <xf numFmtId="3" fontId="20" fillId="0" borderId="10" xfId="0" applyNumberFormat="1" applyFont="1" applyBorder="1"/>
    <xf numFmtId="0" fontId="20" fillId="0" borderId="11" xfId="0" applyFont="1" applyBorder="1" applyAlignment="1">
      <alignment horizontal="center" vertical="center" wrapText="1"/>
    </xf>
    <xf numFmtId="0" fontId="20" fillId="2" borderId="11" xfId="0" applyFont="1" applyFill="1" applyBorder="1" applyAlignment="1">
      <alignment horizontal="left" vertical="justify" wrapText="1"/>
    </xf>
    <xf numFmtId="3" fontId="20" fillId="0" borderId="11" xfId="0" applyNumberFormat="1" applyFont="1" applyBorder="1" applyAlignment="1">
      <alignment horizontal="right"/>
    </xf>
    <xf numFmtId="3" fontId="20" fillId="0" borderId="11" xfId="0" applyNumberFormat="1" applyFont="1" applyBorder="1"/>
    <xf numFmtId="3" fontId="17" fillId="0" borderId="0" xfId="0" applyNumberFormat="1" applyFont="1"/>
    <xf numFmtId="0" fontId="17" fillId="0" borderId="0" xfId="0" applyFont="1" applyAlignment="1">
      <alignment horizontal="center"/>
    </xf>
    <xf numFmtId="3" fontId="17" fillId="0" borderId="0" xfId="0" applyNumberFormat="1" applyFont="1" applyAlignment="1">
      <alignment horizontal="right"/>
    </xf>
    <xf numFmtId="3" fontId="23" fillId="3" borderId="1" xfId="0" applyNumberFormat="1" applyFont="1" applyFill="1" applyBorder="1" applyAlignment="1">
      <alignment horizontal="center" vertical="center" wrapText="1"/>
    </xf>
    <xf numFmtId="0" fontId="17" fillId="2" borderId="1" xfId="0" applyFont="1" applyFill="1" applyBorder="1" applyAlignment="1">
      <alignment horizontal="left" vertical="center" wrapText="1"/>
    </xf>
    <xf numFmtId="3" fontId="18" fillId="0" borderId="0" xfId="0" applyNumberFormat="1" applyFont="1"/>
    <xf numFmtId="0" fontId="27" fillId="3" borderId="1" xfId="0" applyFont="1" applyFill="1" applyBorder="1" applyAlignment="1">
      <alignment horizontal="center" vertical="center" wrapText="1"/>
    </xf>
    <xf numFmtId="0" fontId="27" fillId="2" borderId="1" xfId="0" applyFont="1" applyFill="1" applyBorder="1" applyAlignment="1">
      <alignment horizontal="left" vertical="center" wrapText="1"/>
    </xf>
    <xf numFmtId="166" fontId="17" fillId="0" borderId="4" xfId="0" applyNumberFormat="1" applyFont="1" applyBorder="1" applyAlignment="1">
      <alignment horizontal="center"/>
    </xf>
    <xf numFmtId="166" fontId="23" fillId="0" borderId="1" xfId="0" applyNumberFormat="1" applyFont="1" applyBorder="1" applyAlignment="1">
      <alignment horizontal="center" vertical="center" wrapText="1"/>
    </xf>
    <xf numFmtId="166" fontId="17" fillId="0" borderId="2" xfId="0" applyNumberFormat="1" applyFont="1" applyBorder="1" applyAlignment="1">
      <alignment horizontal="center"/>
    </xf>
    <xf numFmtId="0" fontId="18" fillId="2" borderId="9" xfId="0" applyFont="1" applyFill="1" applyBorder="1" applyAlignment="1">
      <alignment horizontal="center" vertical="center" wrapText="1"/>
    </xf>
    <xf numFmtId="0" fontId="17" fillId="2" borderId="9" xfId="0" applyFont="1" applyFill="1" applyBorder="1" applyAlignment="1">
      <alignment horizontal="left" vertical="justify" wrapText="1"/>
    </xf>
    <xf numFmtId="0" fontId="18" fillId="0" borderId="9" xfId="0" applyFont="1" applyBorder="1" applyAlignment="1">
      <alignment horizontal="center" vertical="center" wrapText="1"/>
    </xf>
    <xf numFmtId="3" fontId="28" fillId="3" borderId="9" xfId="0" applyNumberFormat="1" applyFont="1" applyFill="1" applyBorder="1" applyAlignment="1">
      <alignment horizontal="right" vertical="center" wrapText="1"/>
    </xf>
    <xf numFmtId="3" fontId="28" fillId="0" borderId="9" xfId="0" applyNumberFormat="1" applyFont="1" applyBorder="1" applyAlignment="1">
      <alignment horizontal="right" vertical="center" wrapText="1"/>
    </xf>
    <xf numFmtId="3" fontId="17" fillId="0" borderId="9" xfId="0" applyNumberFormat="1" applyFont="1" applyBorder="1" applyAlignment="1">
      <alignment vertical="center"/>
    </xf>
    <xf numFmtId="166" fontId="17" fillId="0" borderId="9" xfId="0" applyNumberFormat="1" applyFont="1" applyBorder="1" applyAlignment="1">
      <alignment horizontal="center"/>
    </xf>
    <xf numFmtId="166" fontId="17" fillId="0" borderId="10" xfId="0" applyNumberFormat="1" applyFont="1" applyBorder="1" applyAlignment="1">
      <alignment horizontal="center"/>
    </xf>
    <xf numFmtId="166" fontId="17" fillId="0" borderId="11" xfId="0" applyNumberFormat="1" applyFont="1" applyBorder="1" applyAlignment="1">
      <alignment horizontal="center"/>
    </xf>
    <xf numFmtId="166" fontId="17" fillId="0" borderId="1" xfId="0" applyNumberFormat="1" applyFont="1" applyBorder="1" applyAlignment="1">
      <alignment horizontal="center"/>
    </xf>
    <xf numFmtId="166" fontId="17" fillId="0" borderId="1" xfId="0" applyNumberFormat="1" applyFont="1" applyBorder="1" applyAlignment="1">
      <alignment horizontal="center" vertical="center"/>
    </xf>
    <xf numFmtId="166" fontId="20" fillId="0" borderId="1" xfId="0" applyNumberFormat="1" applyFont="1" applyBorder="1" applyAlignment="1">
      <alignment horizontal="center" vertical="center"/>
    </xf>
    <xf numFmtId="166" fontId="20" fillId="0" borderId="2" xfId="0" applyNumberFormat="1" applyFont="1" applyBorder="1" applyAlignment="1">
      <alignment horizontal="center" vertical="center"/>
    </xf>
    <xf numFmtId="3" fontId="17" fillId="0" borderId="2" xfId="0" applyNumberFormat="1" applyFont="1" applyBorder="1" applyAlignment="1">
      <alignment vertical="center"/>
    </xf>
    <xf numFmtId="0" fontId="20" fillId="0" borderId="9" xfId="0" applyFont="1" applyBorder="1" applyAlignment="1">
      <alignment horizontal="center" vertical="center" wrapText="1"/>
    </xf>
    <xf numFmtId="0" fontId="20" fillId="2" borderId="9" xfId="0" applyFont="1" applyFill="1" applyBorder="1" applyAlignment="1">
      <alignment horizontal="left" vertical="justify" wrapText="1"/>
    </xf>
    <xf numFmtId="3" fontId="20" fillId="0" borderId="9" xfId="0" applyNumberFormat="1" applyFont="1" applyBorder="1" applyAlignment="1">
      <alignment horizontal="right"/>
    </xf>
    <xf numFmtId="3" fontId="20" fillId="0" borderId="9" xfId="0" applyNumberFormat="1" applyFont="1" applyBorder="1"/>
    <xf numFmtId="3" fontId="20" fillId="0" borderId="9" xfId="0" applyNumberFormat="1" applyFont="1" applyBorder="1" applyAlignment="1">
      <alignment vertical="center"/>
    </xf>
    <xf numFmtId="166" fontId="20" fillId="0" borderId="9" xfId="0" applyNumberFormat="1" applyFont="1" applyBorder="1" applyAlignment="1">
      <alignment horizontal="center" vertical="center"/>
    </xf>
    <xf numFmtId="166" fontId="20" fillId="0" borderId="10" xfId="0" applyNumberFormat="1" applyFont="1" applyBorder="1" applyAlignment="1">
      <alignment horizontal="center" vertical="center"/>
    </xf>
    <xf numFmtId="3" fontId="20" fillId="0" borderId="11" xfId="0" applyNumberFormat="1" applyFont="1" applyBorder="1" applyAlignment="1">
      <alignment vertical="center"/>
    </xf>
    <xf numFmtId="166" fontId="20" fillId="0" borderId="11" xfId="0" applyNumberFormat="1" applyFont="1" applyBorder="1" applyAlignment="1">
      <alignment horizontal="center" vertical="center"/>
    </xf>
    <xf numFmtId="0" fontId="17" fillId="3" borderId="1" xfId="0" applyFont="1" applyFill="1" applyBorder="1" applyAlignment="1">
      <alignment horizontal="center" vertical="center" wrapText="1"/>
    </xf>
    <xf numFmtId="166" fontId="17" fillId="0" borderId="0" xfId="0" applyNumberFormat="1" applyFont="1" applyAlignment="1">
      <alignment horizontal="center"/>
    </xf>
    <xf numFmtId="3" fontId="23" fillId="3" borderId="12" xfId="0" applyNumberFormat="1" applyFont="1" applyFill="1" applyBorder="1" applyAlignment="1">
      <alignment horizontal="right" vertical="center" wrapText="1"/>
    </xf>
    <xf numFmtId="3" fontId="23" fillId="0" borderId="12" xfId="0" applyNumberFormat="1" applyFont="1" applyBorder="1" applyAlignment="1">
      <alignment horizontal="center" vertical="center" wrapText="1"/>
    </xf>
    <xf numFmtId="0" fontId="17" fillId="2" borderId="12" xfId="0" applyFont="1" applyFill="1" applyBorder="1" applyAlignment="1">
      <alignment horizontal="center" vertical="center" wrapText="1"/>
    </xf>
    <xf numFmtId="0" fontId="17" fillId="2" borderId="12" xfId="0" applyFont="1" applyFill="1" applyBorder="1" applyAlignment="1">
      <alignment horizontal="left" vertical="justify" wrapText="1"/>
    </xf>
    <xf numFmtId="0" fontId="18" fillId="0" borderId="12" xfId="0" applyFont="1" applyBorder="1" applyAlignment="1">
      <alignment horizontal="center" vertical="center" wrapText="1"/>
    </xf>
    <xf numFmtId="166" fontId="17" fillId="0" borderId="12" xfId="0" applyNumberFormat="1" applyFont="1" applyBorder="1" applyAlignment="1">
      <alignment horizontal="center"/>
    </xf>
    <xf numFmtId="0" fontId="20" fillId="0" borderId="12" xfId="0" applyFont="1" applyBorder="1" applyAlignment="1">
      <alignment horizontal="center" vertical="center" wrapText="1"/>
    </xf>
    <xf numFmtId="0" fontId="20" fillId="2" borderId="12" xfId="0" applyFont="1" applyFill="1" applyBorder="1" applyAlignment="1">
      <alignment horizontal="left" vertical="justify" wrapText="1"/>
    </xf>
    <xf numFmtId="3" fontId="20" fillId="0" borderId="12" xfId="0" applyNumberFormat="1" applyFont="1" applyBorder="1" applyAlignment="1">
      <alignment horizontal="right"/>
    </xf>
    <xf numFmtId="3" fontId="20" fillId="0" borderId="12" xfId="0" applyNumberFormat="1" applyFont="1" applyBorder="1"/>
    <xf numFmtId="3" fontId="20" fillId="0" borderId="12" xfId="0" applyNumberFormat="1" applyFont="1" applyBorder="1" applyAlignment="1">
      <alignment vertical="center"/>
    </xf>
    <xf numFmtId="166" fontId="20" fillId="0" borderId="12" xfId="0" applyNumberFormat="1" applyFont="1" applyBorder="1" applyAlignment="1">
      <alignment horizontal="center" vertical="center"/>
    </xf>
    <xf numFmtId="3" fontId="17" fillId="0" borderId="12" xfId="0" applyNumberFormat="1" applyFont="1" applyBorder="1" applyAlignment="1">
      <alignment vertical="center"/>
    </xf>
    <xf numFmtId="3" fontId="2" fillId="3" borderId="1" xfId="0" applyNumberFormat="1" applyFont="1" applyFill="1" applyBorder="1" applyAlignment="1">
      <alignment horizontal="right" vertical="center"/>
    </xf>
    <xf numFmtId="3" fontId="2" fillId="3" borderId="1" xfId="0" applyNumberFormat="1" applyFont="1" applyFill="1" applyBorder="1" applyAlignment="1">
      <alignment vertical="center"/>
    </xf>
    <xf numFmtId="3" fontId="2" fillId="3" borderId="1" xfId="0" applyNumberFormat="1" applyFont="1" applyFill="1" applyBorder="1"/>
    <xf numFmtId="166" fontId="2" fillId="3" borderId="1" xfId="0" applyNumberFormat="1" applyFont="1" applyFill="1" applyBorder="1" applyAlignment="1">
      <alignment vertical="center"/>
    </xf>
    <xf numFmtId="166" fontId="17" fillId="0" borderId="8" xfId="0" applyNumberFormat="1" applyFont="1" applyBorder="1" applyAlignment="1">
      <alignment horizontal="center"/>
    </xf>
    <xf numFmtId="0" fontId="2" fillId="3" borderId="2" xfId="0" applyFont="1" applyFill="1" applyBorder="1" applyAlignment="1">
      <alignment horizontal="left" vertical="center" wrapText="1"/>
    </xf>
    <xf numFmtId="0" fontId="8" fillId="3" borderId="7" xfId="0" applyFont="1" applyFill="1" applyBorder="1" applyAlignment="1">
      <alignment horizontal="center" vertical="center" wrapText="1"/>
    </xf>
    <xf numFmtId="0" fontId="8" fillId="3" borderId="7" xfId="0" applyFont="1" applyFill="1" applyBorder="1" applyAlignment="1">
      <alignment horizontal="left" vertical="center" wrapText="1"/>
    </xf>
    <xf numFmtId="0" fontId="6" fillId="3" borderId="7" xfId="0" applyFont="1" applyFill="1" applyBorder="1" applyAlignment="1">
      <alignment horizontal="center" vertical="center" wrapText="1"/>
    </xf>
    <xf numFmtId="0" fontId="0" fillId="3" borderId="2" xfId="0" applyFill="1" applyBorder="1" applyAlignment="1">
      <alignment horizontal="center" vertical="center"/>
    </xf>
    <xf numFmtId="0" fontId="0" fillId="3" borderId="7" xfId="0" applyFill="1" applyBorder="1"/>
    <xf numFmtId="0" fontId="9" fillId="3" borderId="7" xfId="0" applyFont="1" applyFill="1" applyBorder="1" applyAlignment="1">
      <alignment horizontal="center" vertical="center" wrapText="1"/>
    </xf>
    <xf numFmtId="0" fontId="0" fillId="3" borderId="7" xfId="0" applyFill="1" applyBorder="1" applyAlignment="1">
      <alignment horizontal="center" vertical="center"/>
    </xf>
    <xf numFmtId="0" fontId="11" fillId="3" borderId="1" xfId="0" applyFont="1" applyFill="1" applyBorder="1" applyAlignment="1">
      <alignment horizontal="justify" vertical="center" wrapText="1"/>
    </xf>
    <xf numFmtId="0" fontId="17" fillId="0" borderId="1" xfId="0" applyFont="1" applyBorder="1" applyAlignment="1">
      <alignment horizontal="center"/>
    </xf>
    <xf numFmtId="0" fontId="17" fillId="0" borderId="4" xfId="0" applyFont="1" applyBorder="1" applyAlignment="1">
      <alignment horizontal="right"/>
    </xf>
    <xf numFmtId="3" fontId="17" fillId="0" borderId="2" xfId="0" applyNumberFormat="1" applyFont="1" applyBorder="1" applyAlignment="1">
      <alignment horizontal="right" vertical="center"/>
    </xf>
    <xf numFmtId="0" fontId="17" fillId="0" borderId="2" xfId="0" applyFont="1" applyBorder="1" applyAlignment="1">
      <alignment vertical="center"/>
    </xf>
    <xf numFmtId="3" fontId="17" fillId="0" borderId="1" xfId="0" applyNumberFormat="1" applyFont="1" applyBorder="1" applyAlignment="1">
      <alignment horizontal="center" vertical="center"/>
    </xf>
    <xf numFmtId="0" fontId="36" fillId="3" borderId="0" xfId="0" applyFont="1" applyFill="1"/>
    <xf numFmtId="0" fontId="35" fillId="3" borderId="2" xfId="0" applyFont="1" applyFill="1" applyBorder="1" applyAlignment="1">
      <alignment horizontal="center" vertical="center" wrapText="1"/>
    </xf>
    <xf numFmtId="0" fontId="35" fillId="3" borderId="0" xfId="0" applyFont="1" applyFill="1"/>
    <xf numFmtId="0" fontId="36" fillId="3" borderId="1" xfId="0" applyFont="1" applyFill="1" applyBorder="1"/>
    <xf numFmtId="0" fontId="24" fillId="3" borderId="2"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7" xfId="0" applyFont="1" applyFill="1" applyBorder="1"/>
    <xf numFmtId="0" fontId="24" fillId="3" borderId="7" xfId="0" applyFont="1" applyFill="1" applyBorder="1" applyAlignment="1">
      <alignment horizontal="center"/>
    </xf>
    <xf numFmtId="0" fontId="35" fillId="3" borderId="7" xfId="0" applyFont="1" applyFill="1" applyBorder="1" applyAlignment="1">
      <alignment horizontal="center" vertical="center" wrapText="1"/>
    </xf>
    <xf numFmtId="0" fontId="24" fillId="3" borderId="7" xfId="0" applyFont="1" applyFill="1" applyBorder="1" applyAlignment="1">
      <alignment horizontal="center" vertical="justify" wrapText="1"/>
    </xf>
    <xf numFmtId="0" fontId="36" fillId="3" borderId="7" xfId="0" applyFont="1" applyFill="1" applyBorder="1"/>
    <xf numFmtId="0" fontId="24" fillId="3" borderId="3" xfId="0" applyFont="1" applyFill="1" applyBorder="1" applyAlignment="1">
      <alignment horizontal="center"/>
    </xf>
    <xf numFmtId="0" fontId="24" fillId="3" borderId="3" xfId="0" applyFont="1" applyFill="1" applyBorder="1" applyAlignment="1">
      <alignment horizontal="center" vertical="center" wrapText="1"/>
    </xf>
    <xf numFmtId="0" fontId="24" fillId="3" borderId="3" xfId="0" applyFont="1" applyFill="1" applyBorder="1"/>
    <xf numFmtId="0" fontId="24" fillId="3" borderId="2" xfId="0" applyFont="1" applyFill="1" applyBorder="1"/>
    <xf numFmtId="0" fontId="38" fillId="3" borderId="1" xfId="0" applyFont="1" applyFill="1" applyBorder="1" applyAlignment="1">
      <alignment horizontal="center" vertical="center"/>
    </xf>
    <xf numFmtId="0" fontId="35" fillId="3" borderId="1" xfId="0" applyFont="1" applyFill="1" applyBorder="1" applyAlignment="1">
      <alignment horizontal="justify" vertical="center" wrapText="1"/>
    </xf>
    <xf numFmtId="0" fontId="24" fillId="3" borderId="1" xfId="0" applyFont="1" applyFill="1" applyBorder="1" applyAlignment="1">
      <alignment horizontal="center"/>
    </xf>
    <xf numFmtId="0" fontId="24" fillId="3" borderId="1" xfId="0" applyFont="1" applyFill="1" applyBorder="1" applyAlignment="1">
      <alignment horizontal="center" vertical="center" wrapText="1"/>
    </xf>
    <xf numFmtId="0" fontId="24" fillId="3" borderId="1" xfId="0" applyFont="1" applyFill="1" applyBorder="1"/>
    <xf numFmtId="0" fontId="36" fillId="3" borderId="1" xfId="0" applyFont="1" applyFill="1" applyBorder="1" applyAlignment="1">
      <alignment horizontal="center" vertical="top"/>
    </xf>
    <xf numFmtId="0" fontId="24" fillId="3" borderId="1" xfId="0" applyFont="1" applyFill="1" applyBorder="1" applyAlignment="1">
      <alignment horizontal="justify" vertical="top" wrapText="1"/>
    </xf>
    <xf numFmtId="0" fontId="36" fillId="3" borderId="1" xfId="0" applyFont="1" applyFill="1" applyBorder="1" applyAlignment="1">
      <alignment horizontal="center"/>
    </xf>
    <xf numFmtId="0" fontId="36" fillId="3" borderId="2" xfId="0" applyFont="1" applyFill="1" applyBorder="1"/>
    <xf numFmtId="3" fontId="38" fillId="3" borderId="7" xfId="0" applyNumberFormat="1" applyFont="1" applyFill="1" applyBorder="1"/>
    <xf numFmtId="0" fontId="24" fillId="3" borderId="7" xfId="0" applyFont="1" applyFill="1" applyBorder="1" applyAlignment="1">
      <alignment horizontal="center" vertical="center"/>
    </xf>
    <xf numFmtId="0" fontId="24" fillId="3" borderId="3" xfId="0" applyFont="1" applyFill="1" applyBorder="1" applyAlignment="1">
      <alignment horizontal="center" vertical="center"/>
    </xf>
    <xf numFmtId="0" fontId="36" fillId="3" borderId="3" xfId="0" applyFont="1" applyFill="1" applyBorder="1"/>
    <xf numFmtId="0" fontId="36" fillId="3" borderId="2" xfId="0" applyFont="1" applyFill="1" applyBorder="1" applyAlignment="1">
      <alignment horizontal="center" vertical="center"/>
    </xf>
    <xf numFmtId="0" fontId="36" fillId="3" borderId="7" xfId="0" applyFont="1" applyFill="1" applyBorder="1" applyAlignment="1">
      <alignment horizontal="center" vertical="center"/>
    </xf>
    <xf numFmtId="0" fontId="24" fillId="3" borderId="1" xfId="0" applyFont="1" applyFill="1" applyBorder="1" applyAlignment="1">
      <alignment horizontal="justify" vertical="center" wrapText="1"/>
    </xf>
    <xf numFmtId="0" fontId="36" fillId="3" borderId="1" xfId="0" applyFont="1" applyFill="1" applyBorder="1" applyAlignment="1">
      <alignment vertical="center"/>
    </xf>
    <xf numFmtId="0" fontId="36" fillId="3" borderId="1" xfId="0" applyFont="1" applyFill="1" applyBorder="1" applyAlignment="1">
      <alignment horizontal="center" vertical="center"/>
    </xf>
    <xf numFmtId="166" fontId="24" fillId="3" borderId="7" xfId="0" applyNumberFormat="1" applyFont="1" applyFill="1" applyBorder="1" applyAlignment="1">
      <alignment horizontal="center" vertical="center" wrapText="1"/>
    </xf>
    <xf numFmtId="0" fontId="24" fillId="3" borderId="2" xfId="0" applyFont="1" applyFill="1" applyBorder="1" applyAlignment="1">
      <alignment vertical="top" wrapText="1"/>
    </xf>
    <xf numFmtId="0" fontId="36" fillId="3" borderId="7" xfId="0" applyFont="1" applyFill="1" applyBorder="1" applyAlignment="1">
      <alignment vertical="top"/>
    </xf>
    <xf numFmtId="0" fontId="24" fillId="3" borderId="7" xfId="0" applyFont="1" applyFill="1" applyBorder="1" applyAlignment="1">
      <alignment vertical="top" wrapText="1"/>
    </xf>
    <xf numFmtId="0" fontId="36" fillId="3" borderId="0" xfId="0" applyFont="1" applyFill="1" applyAlignment="1">
      <alignment horizontal="center"/>
    </xf>
    <xf numFmtId="3" fontId="38" fillId="3" borderId="2" xfId="0" applyNumberFormat="1" applyFont="1" applyFill="1" applyBorder="1" applyAlignment="1">
      <alignment horizontal="right" vertical="center"/>
    </xf>
    <xf numFmtId="3" fontId="38" fillId="3" borderId="7" xfId="0" applyNumberFormat="1" applyFont="1" applyFill="1" applyBorder="1" applyAlignment="1">
      <alignment horizontal="right" vertical="center"/>
    </xf>
    <xf numFmtId="3" fontId="36" fillId="3" borderId="7" xfId="0" applyNumberFormat="1" applyFont="1" applyFill="1" applyBorder="1" applyAlignment="1">
      <alignment horizontal="right" vertical="center"/>
    </xf>
    <xf numFmtId="3" fontId="36" fillId="3" borderId="7" xfId="0" applyNumberFormat="1" applyFont="1" applyFill="1" applyBorder="1" applyAlignment="1">
      <alignment horizontal="center" vertical="center"/>
    </xf>
    <xf numFmtId="3" fontId="36" fillId="3" borderId="7" xfId="0" applyNumberFormat="1" applyFont="1" applyFill="1" applyBorder="1" applyAlignment="1">
      <alignment vertical="center"/>
    </xf>
    <xf numFmtId="3" fontId="36" fillId="3" borderId="3" xfId="0" applyNumberFormat="1" applyFont="1" applyFill="1" applyBorder="1" applyAlignment="1">
      <alignment horizontal="center" vertical="center"/>
    </xf>
    <xf numFmtId="3" fontId="36" fillId="3" borderId="3" xfId="0" applyNumberFormat="1" applyFont="1" applyFill="1" applyBorder="1" applyAlignment="1">
      <alignment vertical="center"/>
    </xf>
    <xf numFmtId="3" fontId="24" fillId="3" borderId="7" xfId="0" applyNumberFormat="1" applyFont="1" applyFill="1" applyBorder="1" applyAlignment="1">
      <alignment horizontal="right" vertical="center" wrapText="1"/>
    </xf>
    <xf numFmtId="3" fontId="24" fillId="3" borderId="3" xfId="0" applyNumberFormat="1" applyFont="1" applyFill="1" applyBorder="1" applyAlignment="1">
      <alignment horizontal="right" vertical="center" wrapText="1"/>
    </xf>
    <xf numFmtId="3" fontId="36" fillId="3" borderId="3" xfId="0" applyNumberFormat="1" applyFont="1" applyFill="1" applyBorder="1" applyAlignment="1">
      <alignment horizontal="right" vertical="center"/>
    </xf>
    <xf numFmtId="0" fontId="36" fillId="3" borderId="0" xfId="0" applyFont="1" applyFill="1" applyAlignment="1">
      <alignment vertical="justify"/>
    </xf>
    <xf numFmtId="0" fontId="35" fillId="3" borderId="2" xfId="0" applyFont="1" applyFill="1" applyBorder="1" applyAlignment="1">
      <alignment horizontal="center" vertical="justify" wrapText="1"/>
    </xf>
    <xf numFmtId="0" fontId="24" fillId="3" borderId="2" xfId="0" applyFont="1" applyFill="1" applyBorder="1" applyAlignment="1">
      <alignment horizontal="left" vertical="justify" wrapText="1"/>
    </xf>
    <xf numFmtId="0" fontId="35" fillId="3" borderId="7" xfId="0" applyFont="1" applyFill="1" applyBorder="1" applyAlignment="1">
      <alignment horizontal="left" vertical="justify" wrapText="1"/>
    </xf>
    <xf numFmtId="0" fontId="24" fillId="3" borderId="7" xfId="0" applyFont="1" applyFill="1" applyBorder="1" applyAlignment="1">
      <alignment vertical="justify"/>
    </xf>
    <xf numFmtId="0" fontId="24" fillId="3" borderId="7" xfId="0" applyFont="1" applyFill="1" applyBorder="1" applyAlignment="1">
      <alignment horizontal="left" vertical="justify"/>
    </xf>
    <xf numFmtId="0" fontId="24" fillId="3" borderId="7" xfId="0" applyFont="1" applyFill="1" applyBorder="1" applyAlignment="1">
      <alignment horizontal="left" vertical="justify" wrapText="1"/>
    </xf>
    <xf numFmtId="49" fontId="46" fillId="3" borderId="14" xfId="0" applyNumberFormat="1" applyFont="1" applyFill="1" applyBorder="1" applyAlignment="1">
      <alignment vertical="justify"/>
    </xf>
    <xf numFmtId="49" fontId="46" fillId="3" borderId="0" xfId="0" applyNumberFormat="1" applyFont="1" applyFill="1" applyBorder="1" applyAlignment="1">
      <alignment vertical="justify"/>
    </xf>
    <xf numFmtId="0" fontId="35" fillId="3" borderId="7" xfId="0" applyFont="1" applyFill="1" applyBorder="1" applyAlignment="1">
      <alignment vertical="justify"/>
    </xf>
    <xf numFmtId="0" fontId="24" fillId="3" borderId="3" xfId="0" applyFont="1" applyFill="1" applyBorder="1" applyAlignment="1">
      <alignment horizontal="left" vertical="justify" wrapText="1"/>
    </xf>
    <xf numFmtId="0" fontId="35" fillId="3" borderId="2" xfId="0" applyFont="1" applyFill="1" applyBorder="1" applyAlignment="1">
      <alignment horizontal="left" vertical="justify" wrapText="1"/>
    </xf>
    <xf numFmtId="0" fontId="24" fillId="3" borderId="3" xfId="0" applyFont="1" applyFill="1" applyBorder="1" applyAlignment="1">
      <alignment horizontal="left" vertical="justify"/>
    </xf>
    <xf numFmtId="0" fontId="24" fillId="3" borderId="1" xfId="0" applyFont="1" applyFill="1" applyBorder="1" applyAlignment="1">
      <alignment horizontal="left" vertical="justify"/>
    </xf>
    <xf numFmtId="0" fontId="36" fillId="3" borderId="1" xfId="0" applyFont="1" applyFill="1" applyBorder="1" applyAlignment="1">
      <alignment vertical="justify"/>
    </xf>
    <xf numFmtId="0" fontId="46" fillId="3" borderId="7" xfId="0" quotePrefix="1" applyFont="1" applyFill="1" applyBorder="1" applyAlignment="1">
      <alignment horizontal="left" vertical="justify" wrapText="1"/>
    </xf>
    <xf numFmtId="0" fontId="24" fillId="3" borderId="3" xfId="0" quotePrefix="1" applyFont="1" applyFill="1" applyBorder="1" applyAlignment="1">
      <alignment horizontal="left" vertical="justify" wrapText="1"/>
    </xf>
    <xf numFmtId="0" fontId="35" fillId="3" borderId="0" xfId="0" applyFont="1" applyFill="1" applyAlignment="1">
      <alignment horizontal="justify" vertical="center"/>
    </xf>
    <xf numFmtId="3" fontId="23" fillId="3" borderId="0" xfId="0" applyNumberFormat="1" applyFont="1" applyFill="1" applyBorder="1" applyAlignment="1">
      <alignment horizontal="center" vertical="center" wrapText="1"/>
    </xf>
    <xf numFmtId="0" fontId="18" fillId="0" borderId="0" xfId="0" applyFont="1"/>
    <xf numFmtId="0" fontId="17" fillId="0" borderId="0" xfId="0" applyFont="1" applyAlignment="1">
      <alignment horizontal="center"/>
    </xf>
    <xf numFmtId="0" fontId="17" fillId="0" borderId="0" xfId="0" applyFont="1" applyAlignment="1">
      <alignment horizontal="center" vertical="justify"/>
    </xf>
    <xf numFmtId="0" fontId="18" fillId="0" borderId="0" xfId="0" applyFont="1" applyAlignment="1">
      <alignment horizontal="center"/>
    </xf>
    <xf numFmtId="0" fontId="17" fillId="0" borderId="0" xfId="0" applyFont="1" applyAlignment="1">
      <alignment horizontal="center"/>
    </xf>
    <xf numFmtId="0" fontId="18" fillId="3" borderId="1" xfId="0" applyFont="1" applyFill="1" applyBorder="1" applyAlignment="1">
      <alignment horizontal="center" vertical="center" wrapText="1"/>
    </xf>
    <xf numFmtId="0" fontId="18" fillId="3" borderId="1" xfId="0" applyFont="1" applyFill="1" applyBorder="1"/>
    <xf numFmtId="0" fontId="17" fillId="3" borderId="1" xfId="0" applyFont="1" applyFill="1" applyBorder="1" applyAlignment="1">
      <alignment horizontal="justify" vertical="top" wrapText="1"/>
    </xf>
    <xf numFmtId="0" fontId="17" fillId="3" borderId="1" xfId="0" applyFont="1" applyFill="1" applyBorder="1" applyAlignment="1">
      <alignment vertical="top" wrapText="1"/>
    </xf>
    <xf numFmtId="49" fontId="13" fillId="3" borderId="1" xfId="0" applyNumberFormat="1" applyFont="1" applyFill="1" applyBorder="1" applyAlignment="1">
      <alignment vertical="center"/>
    </xf>
    <xf numFmtId="0" fontId="17" fillId="3" borderId="1" xfId="0" applyFont="1" applyFill="1" applyBorder="1" applyAlignment="1">
      <alignment horizontal="center" vertical="top" wrapText="1"/>
    </xf>
    <xf numFmtId="0" fontId="17" fillId="3" borderId="1" xfId="0" applyFont="1" applyFill="1" applyBorder="1" applyAlignment="1">
      <alignment horizontal="center" vertical="top"/>
    </xf>
    <xf numFmtId="0" fontId="23" fillId="3" borderId="1" xfId="0" applyFont="1" applyFill="1" applyBorder="1" applyAlignment="1">
      <alignment horizontal="center" vertical="center"/>
    </xf>
    <xf numFmtId="0" fontId="18" fillId="3" borderId="1" xfId="0" applyFont="1" applyFill="1" applyBorder="1" applyAlignment="1">
      <alignment horizontal="justify" vertical="center" wrapText="1"/>
    </xf>
    <xf numFmtId="0" fontId="18" fillId="3" borderId="1" xfId="0" applyFont="1" applyFill="1" applyBorder="1" applyAlignment="1">
      <alignment horizontal="justify"/>
    </xf>
    <xf numFmtId="0" fontId="28" fillId="3" borderId="1" xfId="0" applyFont="1" applyFill="1" applyBorder="1" applyAlignment="1">
      <alignment horizontal="center" vertical="top"/>
    </xf>
    <xf numFmtId="0" fontId="17" fillId="3" borderId="2" xfId="0" applyFont="1" applyFill="1" applyBorder="1" applyAlignment="1">
      <alignment vertical="top" wrapText="1"/>
    </xf>
    <xf numFmtId="0" fontId="17" fillId="3" borderId="1" xfId="0" applyFont="1" applyFill="1" applyBorder="1" applyAlignment="1">
      <alignment horizontal="left" vertical="top" wrapText="1"/>
    </xf>
    <xf numFmtId="0" fontId="28" fillId="3" borderId="2" xfId="0" applyFont="1" applyFill="1" applyBorder="1" applyAlignment="1">
      <alignment horizontal="center" vertical="top"/>
    </xf>
    <xf numFmtId="0" fontId="17" fillId="3" borderId="2" xfId="0" applyFont="1" applyFill="1" applyBorder="1" applyAlignment="1">
      <alignment horizontal="justify" vertical="top" wrapText="1"/>
    </xf>
    <xf numFmtId="0" fontId="28" fillId="3" borderId="2" xfId="0" applyFont="1" applyFill="1" applyBorder="1" applyAlignment="1">
      <alignment horizontal="center" vertical="top"/>
    </xf>
    <xf numFmtId="0" fontId="28" fillId="3" borderId="1" xfId="0" applyFont="1" applyFill="1" applyBorder="1" applyAlignment="1">
      <alignment horizontal="center" vertical="center"/>
    </xf>
    <xf numFmtId="0" fontId="18" fillId="3" borderId="1" xfId="0" applyFont="1" applyFill="1" applyBorder="1" applyAlignment="1">
      <alignment horizontal="justify" vertical="top"/>
    </xf>
    <xf numFmtId="3" fontId="17" fillId="0" borderId="5" xfId="0" applyNumberFormat="1" applyFont="1" applyBorder="1"/>
    <xf numFmtId="0" fontId="18" fillId="0" borderId="0" xfId="0" applyFont="1" applyBorder="1" applyAlignment="1">
      <alignment horizontal="center"/>
    </xf>
    <xf numFmtId="0" fontId="18" fillId="3" borderId="0" xfId="0" applyFont="1" applyFill="1" applyBorder="1" applyAlignment="1">
      <alignment horizontal="center" vertical="top" wrapText="1"/>
    </xf>
    <xf numFmtId="0" fontId="18" fillId="0" borderId="0" xfId="0" applyFont="1" applyAlignment="1">
      <alignment horizontal="center"/>
    </xf>
    <xf numFmtId="3" fontId="11" fillId="0" borderId="1" xfId="0" applyNumberFormat="1" applyFont="1" applyBorder="1" applyAlignment="1">
      <alignment horizontal="center" vertical="center"/>
    </xf>
    <xf numFmtId="3" fontId="11" fillId="0" borderId="1" xfId="0" applyNumberFormat="1" applyFont="1" applyBorder="1" applyAlignment="1">
      <alignment vertical="center"/>
    </xf>
    <xf numFmtId="0" fontId="36" fillId="3" borderId="3" xfId="0" applyFont="1" applyFill="1" applyBorder="1" applyAlignment="1">
      <alignment vertical="top"/>
    </xf>
    <xf numFmtId="3" fontId="24" fillId="3" borderId="3" xfId="0" applyNumberFormat="1" applyFont="1" applyFill="1" applyBorder="1" applyAlignment="1">
      <alignment horizontal="right" vertical="top" wrapText="1"/>
    </xf>
    <xf numFmtId="3" fontId="36" fillId="3" borderId="3" xfId="0" applyNumberFormat="1" applyFont="1" applyFill="1" applyBorder="1" applyAlignment="1">
      <alignment horizontal="right" vertical="top"/>
    </xf>
    <xf numFmtId="0" fontId="24" fillId="3" borderId="1" xfId="0" applyFont="1" applyFill="1" applyBorder="1" applyAlignment="1">
      <alignment horizontal="left" vertical="center" wrapText="1"/>
    </xf>
    <xf numFmtId="0" fontId="18" fillId="3" borderId="0" xfId="0" applyFont="1" applyFill="1" applyBorder="1" applyAlignment="1">
      <alignment horizontal="center" vertical="center" wrapText="1"/>
    </xf>
    <xf numFmtId="0" fontId="18" fillId="3" borderId="1" xfId="0" applyFont="1" applyFill="1" applyBorder="1" applyAlignment="1">
      <alignment horizontal="justify" vertical="center"/>
    </xf>
    <xf numFmtId="0" fontId="18" fillId="0" borderId="0" xfId="0" applyFont="1" applyAlignment="1">
      <alignment horizontal="center"/>
    </xf>
    <xf numFmtId="0" fontId="11" fillId="3" borderId="2" xfId="0" applyFont="1" applyFill="1" applyBorder="1" applyAlignment="1">
      <alignment horizontal="justify" vertical="center" wrapText="1"/>
    </xf>
    <xf numFmtId="0" fontId="11" fillId="3" borderId="7" xfId="0" applyFont="1" applyFill="1" applyBorder="1" applyAlignment="1">
      <alignment horizontal="justify" vertical="center" wrapText="1"/>
    </xf>
    <xf numFmtId="49" fontId="43" fillId="3" borderId="7" xfId="0" applyNumberFormat="1" applyFont="1" applyFill="1" applyBorder="1" applyAlignment="1">
      <alignment vertical="center"/>
    </xf>
    <xf numFmtId="0" fontId="10" fillId="3" borderId="7" xfId="0" applyFont="1" applyFill="1" applyBorder="1" applyAlignment="1">
      <alignment vertical="center"/>
    </xf>
    <xf numFmtId="0" fontId="24" fillId="3" borderId="7" xfId="0" quotePrefix="1" applyFont="1" applyFill="1" applyBorder="1" applyAlignment="1">
      <alignment horizontal="left" vertical="justify" wrapText="1"/>
    </xf>
    <xf numFmtId="0" fontId="35" fillId="3" borderId="15" xfId="0" applyFont="1" applyFill="1" applyBorder="1" applyAlignment="1">
      <alignment horizontal="justify"/>
    </xf>
    <xf numFmtId="3" fontId="36" fillId="4" borderId="7" xfId="0" applyNumberFormat="1" applyFont="1" applyFill="1" applyBorder="1" applyAlignment="1">
      <alignment vertical="center"/>
    </xf>
    <xf numFmtId="3" fontId="36" fillId="4" borderId="3" xfId="0" applyNumberFormat="1" applyFont="1" applyFill="1" applyBorder="1" applyAlignment="1">
      <alignment vertical="center"/>
    </xf>
    <xf numFmtId="0" fontId="30" fillId="3" borderId="1" xfId="0" applyFont="1" applyFill="1" applyBorder="1" applyAlignment="1">
      <alignment horizontal="center" vertical="top"/>
    </xf>
    <xf numFmtId="3" fontId="11" fillId="0" borderId="1" xfId="0" applyNumberFormat="1" applyFont="1" applyBorder="1" applyAlignment="1">
      <alignment horizontal="right" vertical="center"/>
    </xf>
    <xf numFmtId="0" fontId="11" fillId="0" borderId="1" xfId="0" applyFont="1" applyBorder="1" applyAlignment="1">
      <alignment vertical="center"/>
    </xf>
    <xf numFmtId="49" fontId="14" fillId="3" borderId="1" xfId="0" applyNumberFormat="1" applyFont="1" applyFill="1" applyBorder="1" applyAlignment="1">
      <alignment vertical="center"/>
    </xf>
    <xf numFmtId="3" fontId="23" fillId="3" borderId="7" xfId="0" applyNumberFormat="1" applyFont="1" applyFill="1" applyBorder="1" applyAlignment="1">
      <alignment horizontal="right" vertical="center"/>
    </xf>
    <xf numFmtId="3" fontId="38" fillId="3" borderId="1" xfId="0" applyNumberFormat="1" applyFont="1" applyFill="1" applyBorder="1" applyAlignment="1">
      <alignment horizontal="right" vertical="center"/>
    </xf>
    <xf numFmtId="3" fontId="18" fillId="0" borderId="0" xfId="0" applyNumberFormat="1" applyFont="1" applyBorder="1" applyAlignment="1">
      <alignment horizontal="center"/>
    </xf>
    <xf numFmtId="0" fontId="0" fillId="3" borderId="2" xfId="0" applyFill="1" applyBorder="1" applyAlignment="1">
      <alignment horizontal="center" vertical="top"/>
    </xf>
    <xf numFmtId="0" fontId="0" fillId="3" borderId="7" xfId="0" applyFill="1" applyBorder="1" applyAlignment="1">
      <alignment horizontal="center" vertical="top"/>
    </xf>
    <xf numFmtId="0" fontId="35" fillId="3" borderId="1" xfId="0" applyFont="1" applyFill="1" applyBorder="1" applyAlignment="1">
      <alignment horizontal="center" vertical="center" wrapText="1"/>
    </xf>
    <xf numFmtId="0" fontId="24" fillId="3" borderId="7" xfId="0" applyFont="1" applyFill="1" applyBorder="1" applyAlignment="1">
      <alignment horizontal="center" vertical="top" wrapText="1"/>
    </xf>
    <xf numFmtId="0" fontId="24" fillId="3" borderId="3" xfId="0" applyFont="1" applyFill="1" applyBorder="1" applyAlignment="1">
      <alignment horizontal="center" vertical="top" wrapText="1"/>
    </xf>
    <xf numFmtId="0" fontId="24" fillId="3" borderId="2" xfId="0" applyFont="1" applyFill="1" applyBorder="1" applyAlignment="1">
      <alignment horizontal="justify" vertical="top" wrapText="1"/>
    </xf>
    <xf numFmtId="0" fontId="24" fillId="3" borderId="7" xfId="0" applyFont="1" applyFill="1" applyBorder="1" applyAlignment="1">
      <alignment horizontal="justify" vertical="top" wrapText="1"/>
    </xf>
    <xf numFmtId="0" fontId="24" fillId="3" borderId="3" xfId="0" applyFont="1" applyFill="1" applyBorder="1" applyAlignment="1">
      <alignment horizontal="justify" vertical="top" wrapText="1"/>
    </xf>
    <xf numFmtId="0" fontId="24" fillId="3" borderId="7" xfId="0" applyFont="1" applyFill="1" applyBorder="1" applyAlignment="1">
      <alignment horizontal="center" vertical="top"/>
    </xf>
    <xf numFmtId="0" fontId="24" fillId="3" borderId="3" xfId="0" applyFont="1" applyFill="1" applyBorder="1" applyAlignment="1">
      <alignment horizontal="center" vertical="top"/>
    </xf>
    <xf numFmtId="0" fontId="36" fillId="3" borderId="2" xfId="0" applyFont="1" applyFill="1" applyBorder="1" applyAlignment="1">
      <alignment horizontal="center" vertical="top"/>
    </xf>
    <xf numFmtId="0" fontId="36" fillId="3" borderId="7" xfId="0" applyFont="1" applyFill="1" applyBorder="1" applyAlignment="1">
      <alignment horizontal="center" vertical="top"/>
    </xf>
    <xf numFmtId="0" fontId="47" fillId="0" borderId="0" xfId="0" applyFont="1" applyAlignment="1">
      <alignment vertical="center"/>
    </xf>
    <xf numFmtId="0" fontId="17" fillId="0" borderId="0" xfId="0" quotePrefix="1" applyFont="1" applyAlignment="1">
      <alignment vertical="center"/>
    </xf>
    <xf numFmtId="0" fontId="17" fillId="0" borderId="0" xfId="0" quotePrefix="1" applyFont="1" applyFill="1" applyAlignment="1">
      <alignment vertical="center"/>
    </xf>
    <xf numFmtId="3" fontId="48" fillId="0" borderId="1" xfId="0" applyNumberFormat="1" applyFont="1" applyBorder="1" applyAlignment="1">
      <alignment horizontal="center" vertical="center" wrapText="1"/>
    </xf>
    <xf numFmtId="0" fontId="17" fillId="3" borderId="12" xfId="0" applyFont="1" applyFill="1" applyBorder="1" applyAlignment="1">
      <alignment horizontal="justify" vertical="top" wrapText="1"/>
    </xf>
    <xf numFmtId="3" fontId="17" fillId="0" borderId="12" xfId="0" applyNumberFormat="1" applyFont="1" applyBorder="1" applyAlignment="1">
      <alignment horizontal="right" vertical="center"/>
    </xf>
    <xf numFmtId="0" fontId="17" fillId="0" borderId="12" xfId="0" applyFont="1" applyBorder="1" applyAlignment="1">
      <alignment vertical="center"/>
    </xf>
    <xf numFmtId="0" fontId="17" fillId="0" borderId="12" xfId="0" applyFont="1" applyBorder="1"/>
    <xf numFmtId="3" fontId="17" fillId="0" borderId="10" xfId="0" applyNumberFormat="1" applyFont="1" applyBorder="1" applyAlignment="1">
      <alignment horizontal="right" vertical="center"/>
    </xf>
    <xf numFmtId="0" fontId="17" fillId="0" borderId="10" xfId="0" applyFont="1" applyBorder="1" applyAlignment="1">
      <alignment vertical="center"/>
    </xf>
    <xf numFmtId="3" fontId="17" fillId="0" borderId="11" xfId="0" applyNumberFormat="1" applyFont="1" applyBorder="1" applyAlignment="1">
      <alignment horizontal="right" vertical="center"/>
    </xf>
    <xf numFmtId="0" fontId="17" fillId="0" borderId="11" xfId="0" applyFont="1" applyBorder="1" applyAlignment="1">
      <alignment vertical="center"/>
    </xf>
    <xf numFmtId="0" fontId="28" fillId="3" borderId="12" xfId="0" applyFont="1" applyFill="1" applyBorder="1" applyAlignment="1">
      <alignment horizontal="center" vertical="top"/>
    </xf>
    <xf numFmtId="0" fontId="28" fillId="3" borderId="10" xfId="0" applyFont="1" applyFill="1" applyBorder="1" applyAlignment="1">
      <alignment horizontal="center" vertical="top"/>
    </xf>
    <xf numFmtId="0" fontId="17" fillId="0" borderId="10" xfId="0" applyFont="1" applyBorder="1"/>
    <xf numFmtId="0" fontId="28" fillId="3" borderId="11" xfId="0" applyFont="1" applyFill="1" applyBorder="1" applyAlignment="1">
      <alignment horizontal="center" vertical="top"/>
    </xf>
    <xf numFmtId="0" fontId="17" fillId="3" borderId="12" xfId="0" applyFont="1" applyFill="1" applyBorder="1" applyAlignment="1">
      <alignment vertical="top" wrapText="1"/>
    </xf>
    <xf numFmtId="0" fontId="17" fillId="2" borderId="10" xfId="0" applyFont="1" applyFill="1" applyBorder="1" applyAlignment="1">
      <alignment horizontal="justify" vertical="center"/>
    </xf>
    <xf numFmtId="3" fontId="17" fillId="0" borderId="10" xfId="0" applyNumberFormat="1" applyFont="1" applyBorder="1"/>
    <xf numFmtId="0" fontId="17" fillId="2" borderId="11" xfId="0" applyFont="1" applyFill="1" applyBorder="1" applyAlignment="1">
      <alignment horizontal="justify" vertical="center"/>
    </xf>
    <xf numFmtId="3" fontId="17" fillId="0" borderId="11" xfId="0" applyNumberFormat="1" applyFont="1" applyBorder="1"/>
    <xf numFmtId="0" fontId="49" fillId="0" borderId="0" xfId="0" applyFont="1" applyAlignment="1">
      <alignment vertical="center"/>
    </xf>
    <xf numFmtId="0" fontId="28" fillId="3" borderId="1" xfId="0" applyFont="1" applyFill="1" applyBorder="1" applyAlignment="1">
      <alignment horizontal="center" vertical="top"/>
    </xf>
    <xf numFmtId="0" fontId="17" fillId="3" borderId="1" xfId="0" applyFont="1" applyFill="1" applyBorder="1" applyAlignment="1">
      <alignment horizontal="center" vertical="top" wrapText="1"/>
    </xf>
    <xf numFmtId="3" fontId="17" fillId="0" borderId="14" xfId="0" applyNumberFormat="1" applyFont="1" applyBorder="1" applyAlignment="1">
      <alignment vertical="center"/>
    </xf>
    <xf numFmtId="164" fontId="17" fillId="0" borderId="10" xfId="0" applyNumberFormat="1" applyFont="1" applyBorder="1" applyAlignment="1">
      <alignment horizontal="right"/>
    </xf>
    <xf numFmtId="164" fontId="17" fillId="0" borderId="10" xfId="0" applyNumberFormat="1" applyFont="1" applyBorder="1" applyAlignment="1"/>
    <xf numFmtId="0" fontId="28" fillId="0" borderId="0" xfId="0" applyFont="1"/>
    <xf numFmtId="0" fontId="18" fillId="2" borderId="12" xfId="0" applyFont="1" applyFill="1" applyBorder="1" applyAlignment="1">
      <alignment vertical="center" wrapText="1"/>
    </xf>
    <xf numFmtId="0" fontId="18" fillId="2" borderId="10" xfId="0" applyFont="1" applyFill="1" applyBorder="1" applyAlignment="1">
      <alignment vertical="center" wrapText="1"/>
    </xf>
    <xf numFmtId="0" fontId="17" fillId="2" borderId="10" xfId="0" applyFont="1" applyFill="1" applyBorder="1" applyAlignment="1">
      <alignment horizontal="center" vertical="center" wrapText="1"/>
    </xf>
    <xf numFmtId="0" fontId="17" fillId="2" borderId="10" xfId="0" applyFont="1" applyFill="1" applyBorder="1" applyAlignment="1">
      <alignment vertical="center"/>
    </xf>
    <xf numFmtId="0" fontId="17" fillId="2" borderId="10" xfId="0" applyFont="1" applyFill="1" applyBorder="1" applyAlignment="1">
      <alignment vertical="center" wrapText="1"/>
    </xf>
    <xf numFmtId="0" fontId="18" fillId="2" borderId="10" xfId="0" applyFont="1" applyFill="1" applyBorder="1" applyAlignment="1">
      <alignment vertical="center"/>
    </xf>
    <xf numFmtId="0" fontId="17" fillId="3" borderId="10" xfId="0" applyFont="1" applyFill="1" applyBorder="1" applyAlignment="1">
      <alignment horizontal="center" vertical="center" wrapText="1"/>
    </xf>
    <xf numFmtId="3" fontId="17" fillId="3" borderId="10" xfId="0" applyNumberFormat="1" applyFont="1" applyFill="1" applyBorder="1" applyAlignment="1">
      <alignment horizontal="center" vertical="center"/>
    </xf>
    <xf numFmtId="0" fontId="17" fillId="3" borderId="11" xfId="0" quotePrefix="1" applyFont="1" applyFill="1" applyBorder="1" applyAlignment="1">
      <alignment horizontal="left" vertical="justify" wrapText="1"/>
    </xf>
    <xf numFmtId="0" fontId="17" fillId="3" borderId="11" xfId="0" applyFont="1" applyFill="1" applyBorder="1" applyAlignment="1">
      <alignment horizontal="center" vertical="center" wrapText="1"/>
    </xf>
    <xf numFmtId="3" fontId="17" fillId="3" borderId="11" xfId="0" applyNumberFormat="1" applyFont="1" applyFill="1" applyBorder="1" applyAlignment="1">
      <alignment horizontal="center" vertical="center"/>
    </xf>
    <xf numFmtId="3" fontId="17" fillId="3" borderId="10" xfId="0" applyNumberFormat="1" applyFont="1" applyFill="1" applyBorder="1" applyAlignment="1">
      <alignment horizontal="right" vertical="center" wrapText="1"/>
    </xf>
    <xf numFmtId="0" fontId="17" fillId="2" borderId="11" xfId="0" applyFont="1" applyFill="1" applyBorder="1" applyAlignment="1">
      <alignment vertical="center"/>
    </xf>
    <xf numFmtId="0" fontId="17" fillId="2" borderId="11" xfId="0" applyFont="1" applyFill="1" applyBorder="1" applyAlignment="1">
      <alignment horizontal="center" vertical="center" wrapText="1"/>
    </xf>
    <xf numFmtId="3" fontId="17" fillId="3" borderId="11" xfId="0" applyNumberFormat="1" applyFont="1" applyFill="1" applyBorder="1" applyAlignment="1">
      <alignment horizontal="right" vertical="center" wrapText="1"/>
    </xf>
    <xf numFmtId="0" fontId="18" fillId="3" borderId="12" xfId="0" applyFont="1" applyFill="1" applyBorder="1" applyAlignment="1">
      <alignment vertical="center" wrapText="1"/>
    </xf>
    <xf numFmtId="0" fontId="17" fillId="3" borderId="12" xfId="0" applyFont="1" applyFill="1" applyBorder="1" applyAlignment="1">
      <alignment horizontal="center" vertical="center" wrapText="1"/>
    </xf>
    <xf numFmtId="0" fontId="17" fillId="2" borderId="12" xfId="0" applyFont="1" applyFill="1" applyBorder="1" applyAlignment="1">
      <alignment vertical="center"/>
    </xf>
    <xf numFmtId="0" fontId="17" fillId="2" borderId="1" xfId="0" applyFont="1" applyFill="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0" fontId="17" fillId="2" borderId="11" xfId="0" applyFont="1" applyFill="1" applyBorder="1" applyAlignment="1">
      <alignment vertical="center" wrapText="1"/>
    </xf>
    <xf numFmtId="2" fontId="17" fillId="2" borderId="11" xfId="0" applyNumberFormat="1" applyFont="1" applyFill="1" applyBorder="1" applyAlignment="1">
      <alignment horizontal="center" vertical="center" wrapText="1"/>
    </xf>
    <xf numFmtId="0" fontId="17" fillId="2" borderId="9" xfId="0" applyFont="1" applyFill="1" applyBorder="1" applyAlignment="1">
      <alignment horizontal="center" vertical="center"/>
    </xf>
    <xf numFmtId="0" fontId="17" fillId="2" borderId="9" xfId="0" applyFont="1" applyFill="1" applyBorder="1" applyAlignment="1">
      <alignment horizontal="center" vertical="center" wrapText="1"/>
    </xf>
    <xf numFmtId="0" fontId="17" fillId="3" borderId="11" xfId="0" quotePrefix="1" applyFont="1" applyFill="1" applyBorder="1" applyAlignment="1">
      <alignment horizontal="left" vertical="center" wrapText="1"/>
    </xf>
    <xf numFmtId="0" fontId="18" fillId="2" borderId="1" xfId="0" applyFont="1" applyFill="1" applyBorder="1" applyAlignment="1">
      <alignment horizontal="center" vertical="center"/>
    </xf>
    <xf numFmtId="0" fontId="18" fillId="2" borderId="9" xfId="0" applyFont="1" applyFill="1" applyBorder="1" applyAlignment="1">
      <alignment vertical="center" wrapText="1"/>
    </xf>
    <xf numFmtId="0" fontId="17" fillId="3" borderId="12" xfId="0" applyFont="1" applyFill="1" applyBorder="1" applyAlignment="1">
      <alignment horizontal="center" vertical="center"/>
    </xf>
    <xf numFmtId="0" fontId="17" fillId="3" borderId="12" xfId="0" applyFont="1" applyFill="1" applyBorder="1" applyAlignment="1">
      <alignment vertical="center"/>
    </xf>
    <xf numFmtId="0" fontId="17" fillId="0" borderId="0" xfId="0" applyFont="1" applyAlignment="1">
      <alignment horizontal="left" vertical="center"/>
    </xf>
    <xf numFmtId="0" fontId="17" fillId="0" borderId="0" xfId="0" applyFont="1" applyAlignment="1">
      <alignment horizontal="left"/>
    </xf>
    <xf numFmtId="0" fontId="28" fillId="0" borderId="0" xfId="0" applyFont="1" applyAlignment="1">
      <alignment horizontal="left"/>
    </xf>
    <xf numFmtId="0" fontId="18" fillId="2" borderId="1" xfId="0" applyFont="1" applyFill="1" applyBorder="1" applyAlignment="1">
      <alignment horizontal="justify" vertical="center"/>
    </xf>
    <xf numFmtId="0" fontId="18" fillId="2" borderId="1" xfId="0" applyFont="1" applyFill="1" applyBorder="1" applyAlignment="1">
      <alignment horizontal="justify" vertical="center" wrapText="1"/>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1" xfId="0" applyFont="1" applyFill="1" applyBorder="1" applyAlignment="1">
      <alignment horizontal="justify" vertical="center" wrapText="1"/>
    </xf>
    <xf numFmtId="0" fontId="17" fillId="2" borderId="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3" fontId="18" fillId="3" borderId="12" xfId="0" applyNumberFormat="1" applyFont="1" applyFill="1" applyBorder="1" applyAlignment="1">
      <alignment horizontal="right" vertical="center"/>
    </xf>
    <xf numFmtId="3" fontId="18" fillId="3" borderId="10" xfId="0" applyNumberFormat="1" applyFont="1" applyFill="1" applyBorder="1" applyAlignment="1">
      <alignment horizontal="right" vertical="center"/>
    </xf>
    <xf numFmtId="3" fontId="17" fillId="3" borderId="10" xfId="0" applyNumberFormat="1" applyFont="1" applyFill="1" applyBorder="1" applyAlignment="1">
      <alignment horizontal="right" vertical="center"/>
    </xf>
    <xf numFmtId="3" fontId="17" fillId="3" borderId="10" xfId="0" applyNumberFormat="1" applyFont="1" applyFill="1" applyBorder="1" applyAlignment="1">
      <alignment vertical="center"/>
    </xf>
    <xf numFmtId="3" fontId="17" fillId="3" borderId="11" xfId="0" applyNumberFormat="1" applyFont="1" applyFill="1" applyBorder="1" applyAlignment="1">
      <alignment vertical="center"/>
    </xf>
    <xf numFmtId="3" fontId="17" fillId="3" borderId="11" xfId="0" applyNumberFormat="1" applyFont="1" applyFill="1" applyBorder="1" applyAlignment="1">
      <alignment horizontal="right" vertical="center"/>
    </xf>
    <xf numFmtId="3" fontId="18" fillId="3" borderId="7" xfId="0" applyNumberFormat="1" applyFont="1" applyFill="1" applyBorder="1" applyAlignment="1">
      <alignment horizontal="right" vertical="center"/>
    </xf>
    <xf numFmtId="0" fontId="17" fillId="3" borderId="10" xfId="0" applyFont="1" applyFill="1" applyBorder="1"/>
    <xf numFmtId="3" fontId="18" fillId="3" borderId="10" xfId="0" applyNumberFormat="1" applyFont="1" applyFill="1" applyBorder="1"/>
    <xf numFmtId="3" fontId="18" fillId="3" borderId="9" xfId="0" applyNumberFormat="1" applyFont="1" applyFill="1" applyBorder="1" applyAlignment="1">
      <alignment horizontal="right" vertical="center"/>
    </xf>
    <xf numFmtId="0" fontId="6" fillId="0" borderId="1" xfId="0" applyFont="1" applyBorder="1" applyAlignment="1">
      <alignment horizontal="center" vertical="center"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4" fillId="0" borderId="3" xfId="0" applyFont="1" applyBorder="1" applyAlignment="1">
      <alignment horizontal="center"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0" fillId="0" borderId="2" xfId="0" applyBorder="1" applyAlignment="1">
      <alignment horizontal="center" vertical="top"/>
    </xf>
    <xf numFmtId="0" fontId="0" fillId="0" borderId="7" xfId="0" applyBorder="1" applyAlignment="1">
      <alignment horizontal="center" vertical="top"/>
    </xf>
    <xf numFmtId="0" fontId="6" fillId="2" borderId="1" xfId="0" applyFont="1" applyFill="1" applyBorder="1" applyAlignment="1">
      <alignment horizontal="center" vertical="center" wrapText="1"/>
    </xf>
    <xf numFmtId="0" fontId="8" fillId="0" borderId="2" xfId="0" applyFont="1" applyBorder="1" applyAlignment="1">
      <alignment horizontal="center" vertical="top" wrapText="1"/>
    </xf>
    <xf numFmtId="0" fontId="8" fillId="0" borderId="7" xfId="0" applyFont="1" applyBorder="1" applyAlignment="1">
      <alignment horizontal="center" vertical="top" wrapText="1"/>
    </xf>
    <xf numFmtId="0" fontId="8" fillId="0" borderId="3" xfId="0" applyFont="1" applyBorder="1" applyAlignment="1">
      <alignment horizontal="center" vertical="top" wrapText="1"/>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8" fillId="0" borderId="3" xfId="0" applyFont="1" applyBorder="1" applyAlignment="1">
      <alignment horizontal="left" vertical="top" wrapText="1"/>
    </xf>
    <xf numFmtId="0" fontId="4" fillId="0" borderId="7" xfId="0" applyFont="1" applyBorder="1" applyAlignment="1">
      <alignment horizontal="center" vertical="top"/>
    </xf>
    <xf numFmtId="0" fontId="4" fillId="0" borderId="3" xfId="0" applyFont="1" applyBorder="1" applyAlignment="1">
      <alignment horizontal="center" vertical="top"/>
    </xf>
    <xf numFmtId="0" fontId="9" fillId="0" borderId="2" xfId="0" applyFont="1" applyBorder="1" applyAlignment="1">
      <alignment horizontal="left" vertical="top" wrapText="1"/>
    </xf>
    <xf numFmtId="0" fontId="9" fillId="0" borderId="7" xfId="0" applyFont="1" applyBorder="1" applyAlignment="1">
      <alignment horizontal="left" vertical="top" wrapText="1"/>
    </xf>
    <xf numFmtId="0" fontId="9" fillId="0" borderId="3" xfId="0" applyFont="1" applyBorder="1" applyAlignment="1">
      <alignment horizontal="left" vertical="top" wrapText="1"/>
    </xf>
    <xf numFmtId="0" fontId="15" fillId="0" borderId="2" xfId="0" applyFont="1" applyBorder="1" applyAlignment="1">
      <alignment horizontal="center" vertical="top"/>
    </xf>
    <xf numFmtId="0" fontId="15" fillId="0" borderId="7" xfId="0" applyFont="1" applyBorder="1" applyAlignment="1">
      <alignment horizontal="center" vertical="top"/>
    </xf>
    <xf numFmtId="0" fontId="11" fillId="0" borderId="2" xfId="0" applyFont="1" applyBorder="1" applyAlignment="1">
      <alignment horizontal="left" vertical="top" wrapText="1"/>
    </xf>
    <xf numFmtId="0" fontId="11" fillId="0" borderId="7" xfId="0" applyFont="1" applyBorder="1" applyAlignment="1">
      <alignment horizontal="left" vertical="top" wrapText="1"/>
    </xf>
    <xf numFmtId="0" fontId="5" fillId="0" borderId="4" xfId="0" applyFont="1" applyBorder="1" applyAlignment="1">
      <alignment horizontal="right" vertical="center"/>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0" fillId="0" borderId="3" xfId="0" applyBorder="1" applyAlignment="1">
      <alignment horizontal="center" vertical="top"/>
    </xf>
    <xf numFmtId="0" fontId="11" fillId="0" borderId="3" xfId="0" applyFont="1" applyBorder="1" applyAlignment="1">
      <alignment horizontal="left" vertical="top" wrapText="1"/>
    </xf>
    <xf numFmtId="0" fontId="35" fillId="3" borderId="2"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24" fillId="3" borderId="2" xfId="0" applyFont="1" applyFill="1" applyBorder="1" applyAlignment="1">
      <alignment horizontal="center" vertical="top" wrapText="1"/>
    </xf>
    <xf numFmtId="0" fontId="24" fillId="3" borderId="7" xfId="0" applyFont="1" applyFill="1" applyBorder="1" applyAlignment="1">
      <alignment horizontal="center" vertical="top" wrapText="1"/>
    </xf>
    <xf numFmtId="0" fontId="24" fillId="3" borderId="3" xfId="0" applyFont="1" applyFill="1" applyBorder="1" applyAlignment="1">
      <alignment horizontal="center" vertical="top" wrapText="1"/>
    </xf>
    <xf numFmtId="0" fontId="24" fillId="3" borderId="2" xfId="0" applyFont="1" applyFill="1" applyBorder="1" applyAlignment="1">
      <alignment horizontal="justify" vertical="top" wrapText="1"/>
    </xf>
    <xf numFmtId="0" fontId="24" fillId="3" borderId="7" xfId="0" applyFont="1" applyFill="1" applyBorder="1" applyAlignment="1">
      <alignment horizontal="justify" vertical="top" wrapText="1"/>
    </xf>
    <xf numFmtId="0" fontId="24" fillId="3" borderId="3" xfId="0" applyFont="1" applyFill="1" applyBorder="1" applyAlignment="1">
      <alignment horizontal="justify" vertical="top" wrapText="1"/>
    </xf>
    <xf numFmtId="0" fontId="24" fillId="3" borderId="2" xfId="0" applyFont="1" applyFill="1" applyBorder="1" applyAlignment="1">
      <alignment horizontal="center" vertical="top"/>
    </xf>
    <xf numFmtId="0" fontId="24" fillId="3" borderId="7" xfId="0" applyFont="1" applyFill="1" applyBorder="1" applyAlignment="1">
      <alignment horizontal="center" vertical="top"/>
    </xf>
    <xf numFmtId="0" fontId="24" fillId="3" borderId="3" xfId="0" applyFont="1" applyFill="1" applyBorder="1" applyAlignment="1">
      <alignment horizontal="center" vertical="top"/>
    </xf>
    <xf numFmtId="0" fontId="36" fillId="3" borderId="2" xfId="0" applyFont="1" applyFill="1" applyBorder="1" applyAlignment="1">
      <alignment horizontal="center" vertical="top"/>
    </xf>
    <xf numFmtId="0" fontId="36" fillId="3" borderId="7" xfId="0" applyFont="1" applyFill="1" applyBorder="1" applyAlignment="1">
      <alignment horizontal="center" vertical="top"/>
    </xf>
    <xf numFmtId="0" fontId="36" fillId="3" borderId="3" xfId="0" applyFont="1" applyFill="1" applyBorder="1" applyAlignment="1">
      <alignment horizontal="center" vertical="top"/>
    </xf>
    <xf numFmtId="0" fontId="24" fillId="3" borderId="2" xfId="0" applyFont="1" applyFill="1" applyBorder="1" applyAlignment="1">
      <alignment horizontal="left" vertical="top" wrapText="1"/>
    </xf>
    <xf numFmtId="0" fontId="24" fillId="3" borderId="7" xfId="0" applyFont="1" applyFill="1" applyBorder="1" applyAlignment="1">
      <alignment horizontal="left" vertical="top" wrapText="1"/>
    </xf>
    <xf numFmtId="0" fontId="24" fillId="3" borderId="3" xfId="0" applyFont="1" applyFill="1" applyBorder="1" applyAlignment="1">
      <alignment horizontal="left" vertical="top" wrapText="1"/>
    </xf>
    <xf numFmtId="0" fontId="23" fillId="3" borderId="0" xfId="0" applyFont="1" applyFill="1" applyAlignment="1">
      <alignment horizontal="center"/>
    </xf>
    <xf numFmtId="3" fontId="35" fillId="3" borderId="1" xfId="0" applyNumberFormat="1" applyFont="1" applyFill="1" applyBorder="1" applyAlignment="1">
      <alignment horizontal="center" vertical="center" wrapText="1"/>
    </xf>
    <xf numFmtId="49" fontId="17" fillId="0" borderId="0" xfId="0" applyNumberFormat="1" applyFont="1" applyAlignment="1">
      <alignment horizontal="left" vertical="justify"/>
    </xf>
    <xf numFmtId="0" fontId="17" fillId="0" borderId="0" xfId="0" applyFont="1" applyAlignment="1">
      <alignment horizontal="justify" vertical="justify"/>
    </xf>
    <xf numFmtId="0" fontId="18" fillId="0" borderId="14" xfId="0" applyFont="1" applyBorder="1" applyAlignment="1">
      <alignment horizontal="center"/>
    </xf>
    <xf numFmtId="0" fontId="18" fillId="0" borderId="0" xfId="0" applyFont="1" applyAlignment="1">
      <alignment horizontal="center"/>
    </xf>
    <xf numFmtId="3" fontId="23" fillId="0" borderId="5" xfId="0" applyNumberFormat="1" applyFont="1" applyBorder="1" applyAlignment="1">
      <alignment horizontal="center" vertical="center" wrapText="1"/>
    </xf>
    <xf numFmtId="3" fontId="23" fillId="0" borderId="6" xfId="0" applyNumberFormat="1" applyFont="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3" fontId="23" fillId="3" borderId="2" xfId="0" applyNumberFormat="1" applyFont="1" applyFill="1" applyBorder="1" applyAlignment="1">
      <alignment horizontal="center" vertical="center" wrapText="1"/>
    </xf>
    <xf numFmtId="3" fontId="23" fillId="3" borderId="3" xfId="0" applyNumberFormat="1" applyFont="1" applyFill="1" applyBorder="1" applyAlignment="1">
      <alignment horizontal="center" vertical="center" wrapText="1"/>
    </xf>
    <xf numFmtId="3" fontId="23" fillId="0" borderId="2" xfId="0" applyNumberFormat="1" applyFont="1" applyBorder="1" applyAlignment="1">
      <alignment horizontal="center" vertical="center" wrapText="1"/>
    </xf>
    <xf numFmtId="3" fontId="23" fillId="0" borderId="3" xfId="0" applyNumberFormat="1" applyFont="1" applyBorder="1" applyAlignment="1">
      <alignment horizontal="center" vertical="center" wrapText="1"/>
    </xf>
    <xf numFmtId="0" fontId="17" fillId="0" borderId="0" xfId="0" applyFont="1" applyAlignment="1">
      <alignment horizontal="left" vertical="justify"/>
    </xf>
    <xf numFmtId="0" fontId="17" fillId="3" borderId="12" xfId="0" applyFont="1" applyFill="1" applyBorder="1" applyAlignment="1">
      <alignment horizontal="center" vertical="top" wrapText="1"/>
    </xf>
    <xf numFmtId="0" fontId="17" fillId="3" borderId="10" xfId="0" applyFont="1" applyFill="1" applyBorder="1" applyAlignment="1">
      <alignment horizontal="center" vertical="top" wrapText="1"/>
    </xf>
    <xf numFmtId="0" fontId="17" fillId="3" borderId="11" xfId="0" applyFont="1" applyFill="1" applyBorder="1" applyAlignment="1">
      <alignment horizontal="center" vertical="top" wrapText="1"/>
    </xf>
    <xf numFmtId="0" fontId="28" fillId="3" borderId="1" xfId="0" applyFont="1" applyFill="1" applyBorder="1" applyAlignment="1">
      <alignment horizontal="center" vertical="top"/>
    </xf>
    <xf numFmtId="0" fontId="18" fillId="0" borderId="0" xfId="0" applyFont="1" applyBorder="1" applyAlignment="1">
      <alignment horizontal="center" vertical="center"/>
    </xf>
    <xf numFmtId="0" fontId="18" fillId="0" borderId="0" xfId="0" applyFont="1" applyBorder="1" applyAlignment="1">
      <alignment horizontal="center" vertical="center" wrapText="1"/>
    </xf>
    <xf numFmtId="0" fontId="20" fillId="0" borderId="0" xfId="0" applyFont="1" applyBorder="1" applyAlignment="1">
      <alignment horizontal="center" vertical="top" wrapText="1"/>
    </xf>
    <xf numFmtId="0" fontId="16" fillId="0" borderId="0" xfId="0" applyFont="1" applyBorder="1" applyAlignment="1">
      <alignment horizontal="center" vertical="center"/>
    </xf>
    <xf numFmtId="0" fontId="1" fillId="0" borderId="0" xfId="0" applyFont="1" applyBorder="1" applyAlignment="1">
      <alignment horizontal="center" vertical="justify" wrapText="1"/>
    </xf>
    <xf numFmtId="0" fontId="1" fillId="0" borderId="0" xfId="0" applyFont="1" applyBorder="1" applyAlignment="1">
      <alignment horizontal="center" vertical="justify"/>
    </xf>
    <xf numFmtId="0" fontId="17" fillId="2" borderId="0" xfId="0" applyFont="1" applyFill="1" applyBorder="1" applyAlignment="1">
      <alignment horizontal="justify" vertical="center" wrapText="1"/>
    </xf>
    <xf numFmtId="0" fontId="23" fillId="0" borderId="0" xfId="0" applyFont="1" applyAlignment="1">
      <alignment horizontal="center" vertical="justify" wrapText="1"/>
    </xf>
    <xf numFmtId="0" fontId="17" fillId="2" borderId="16" xfId="0" applyFont="1" applyFill="1" applyBorder="1" applyAlignment="1">
      <alignment horizontal="left" vertical="center"/>
    </xf>
    <xf numFmtId="0" fontId="17" fillId="2" borderId="2"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justify" vertical="center" wrapText="1"/>
    </xf>
    <xf numFmtId="0" fontId="17" fillId="2" borderId="7" xfId="0" applyFont="1" applyFill="1" applyBorder="1" applyAlignment="1">
      <alignment horizontal="justify" vertical="center" wrapText="1"/>
    </xf>
    <xf numFmtId="0" fontId="17" fillId="2" borderId="3" xfId="0" applyFont="1" applyFill="1" applyBorder="1" applyAlignment="1">
      <alignment horizontal="justify" vertical="center" wrapText="1"/>
    </xf>
    <xf numFmtId="0" fontId="17" fillId="2" borderId="12" xfId="0" applyFont="1" applyFill="1" applyBorder="1" applyAlignment="1">
      <alignment horizontal="justify" vertical="center" wrapText="1"/>
    </xf>
    <xf numFmtId="0" fontId="17" fillId="2" borderId="10" xfId="0" applyFont="1" applyFill="1" applyBorder="1" applyAlignment="1">
      <alignment horizontal="justify" vertical="center" wrapText="1"/>
    </xf>
    <xf numFmtId="0" fontId="17" fillId="2" borderId="11" xfId="0" applyFont="1" applyFill="1" applyBorder="1" applyAlignment="1">
      <alignment horizontal="justify" vertical="center" wrapText="1"/>
    </xf>
    <xf numFmtId="0" fontId="17" fillId="2" borderId="1" xfId="0" applyFont="1" applyFill="1" applyBorder="1" applyAlignment="1">
      <alignment horizontal="justify" vertical="center" wrapText="1"/>
    </xf>
    <xf numFmtId="0" fontId="17" fillId="2" borderId="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3" fontId="18" fillId="3" borderId="2" xfId="0" applyNumberFormat="1" applyFont="1" applyFill="1" applyBorder="1" applyAlignment="1">
      <alignment horizontal="center" vertical="center" wrapText="1"/>
    </xf>
    <xf numFmtId="3" fontId="18" fillId="3" borderId="3"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8" fillId="0" borderId="0" xfId="0" applyFont="1" applyAlignment="1">
      <alignment horizontal="center" vertical="center" wrapText="1"/>
    </xf>
    <xf numFmtId="0" fontId="17" fillId="0" borderId="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3" borderId="1" xfId="0" applyFont="1" applyFill="1" applyBorder="1" applyAlignment="1">
      <alignment horizontal="center" vertical="top" wrapText="1"/>
    </xf>
    <xf numFmtId="0" fontId="28" fillId="3" borderId="2" xfId="0" applyFont="1" applyFill="1" applyBorder="1" applyAlignment="1">
      <alignment horizontal="center" vertical="top"/>
    </xf>
    <xf numFmtId="0" fontId="28" fillId="3" borderId="7" xfId="0" applyFont="1" applyFill="1" applyBorder="1" applyAlignment="1">
      <alignment horizontal="center" vertical="top"/>
    </xf>
    <xf numFmtId="0" fontId="18" fillId="0" borderId="0" xfId="0" applyFont="1" applyBorder="1" applyAlignment="1">
      <alignment horizontal="center" vertical="justify" wrapText="1"/>
    </xf>
    <xf numFmtId="0" fontId="18" fillId="0" borderId="0" xfId="0" applyFont="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104775</xdr:colOff>
      <xdr:row>2</xdr:row>
      <xdr:rowOff>238125</xdr:rowOff>
    </xdr:from>
    <xdr:to>
      <xdr:col>5</xdr:col>
      <xdr:colOff>381000</xdr:colOff>
      <xdr:row>2</xdr:row>
      <xdr:rowOff>238125</xdr:rowOff>
    </xdr:to>
    <xdr:cxnSp macro="">
      <xdr:nvCxnSpPr>
        <xdr:cNvPr id="3" name="Straight Connector 2"/>
        <xdr:cNvCxnSpPr/>
      </xdr:nvCxnSpPr>
      <xdr:spPr>
        <a:xfrm>
          <a:off x="4152900" y="762000"/>
          <a:ext cx="20383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_D/TTPTQ&#272;_HCTH/Nam_2021_2022/DINH_MUC_KTKT/DAT_CONG/Phu_luc_ap_dung_&#272;M_Don_Gia_11_12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uong"/>
      <sheetName val="Sheet2"/>
      <sheetName val="PL1"/>
      <sheetName val="VL_PA"/>
      <sheetName val="VL_KT"/>
      <sheetName val="VL_BC"/>
      <sheetName val="Nhien_lieu"/>
      <sheetName val="TH_6_11"/>
      <sheetName val="TH"/>
      <sheetName val="Sheet3"/>
      <sheetName val="Sheet1"/>
    </sheetNames>
    <sheetDataSet>
      <sheetData sheetId="0"/>
      <sheetData sheetId="1"/>
      <sheetData sheetId="2">
        <row r="7">
          <cell r="I7">
            <v>146079.6</v>
          </cell>
        </row>
        <row r="9">
          <cell r="I9">
            <v>63697.5</v>
          </cell>
        </row>
      </sheetData>
      <sheetData sheetId="3">
        <row r="8">
          <cell r="G8">
            <v>10425</v>
          </cell>
        </row>
      </sheetData>
      <sheetData sheetId="4"/>
      <sheetData sheetId="5">
        <row r="11">
          <cell r="G11">
            <v>10925</v>
          </cell>
        </row>
      </sheetData>
      <sheetData sheetId="6">
        <row r="8">
          <cell r="F8">
            <v>11335</v>
          </cell>
        </row>
        <row r="9">
          <cell r="F9">
            <v>22670</v>
          </cell>
        </row>
        <row r="10">
          <cell r="F10">
            <v>45340</v>
          </cell>
        </row>
        <row r="11">
          <cell r="F11">
            <v>68010</v>
          </cell>
        </row>
        <row r="12">
          <cell r="F12">
            <v>90680</v>
          </cell>
        </row>
        <row r="13">
          <cell r="F13">
            <v>113350</v>
          </cell>
        </row>
        <row r="14">
          <cell r="F14">
            <v>136020</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topLeftCell="A22" workbookViewId="0">
      <selection activeCell="H96" sqref="H96"/>
    </sheetView>
  </sheetViews>
  <sheetFormatPr defaultRowHeight="15.75" x14ac:dyDescent="0.25"/>
  <cols>
    <col min="1" max="1" width="4.75" style="69" bestFit="1" customWidth="1"/>
    <col min="2" max="2" width="32.375" customWidth="1"/>
    <col min="3" max="3" width="25.875" customWidth="1"/>
    <col min="4" max="4" width="11.875" customWidth="1"/>
    <col min="5" max="5" width="9" style="69"/>
  </cols>
  <sheetData>
    <row r="1" spans="1:6" ht="16.5" x14ac:dyDescent="0.25">
      <c r="A1" s="676" t="s">
        <v>0</v>
      </c>
      <c r="B1" s="676" t="s">
        <v>1</v>
      </c>
      <c r="C1" s="667" t="s">
        <v>16</v>
      </c>
      <c r="D1" s="667" t="s">
        <v>4</v>
      </c>
      <c r="E1" s="667" t="s">
        <v>24</v>
      </c>
      <c r="F1" s="667"/>
    </row>
    <row r="2" spans="1:6" ht="34.5" customHeight="1" x14ac:dyDescent="0.25">
      <c r="A2" s="676"/>
      <c r="B2" s="676"/>
      <c r="C2" s="667"/>
      <c r="D2" s="667"/>
      <c r="E2" s="89" t="s">
        <v>2</v>
      </c>
      <c r="F2" s="89" t="s">
        <v>3</v>
      </c>
    </row>
    <row r="3" spans="1:6" ht="34.5" customHeight="1" x14ac:dyDescent="0.25">
      <c r="A3" s="668">
        <v>1</v>
      </c>
      <c r="B3" s="671" t="s">
        <v>39</v>
      </c>
      <c r="C3" s="42" t="s">
        <v>45</v>
      </c>
      <c r="D3" s="4" t="s">
        <v>44</v>
      </c>
      <c r="E3" s="4"/>
      <c r="F3" s="3">
        <v>2</v>
      </c>
    </row>
    <row r="4" spans="1:6" ht="16.5" x14ac:dyDescent="0.25">
      <c r="A4" s="669"/>
      <c r="B4" s="672"/>
      <c r="C4" s="39" t="s">
        <v>18</v>
      </c>
      <c r="D4" s="21"/>
      <c r="E4" s="21"/>
      <c r="F4" s="21"/>
    </row>
    <row r="5" spans="1:6" ht="16.5" x14ac:dyDescent="0.25">
      <c r="A5" s="669"/>
      <c r="B5" s="672"/>
      <c r="C5" s="23" t="s">
        <v>11</v>
      </c>
      <c r="D5" s="11" t="s">
        <v>12</v>
      </c>
      <c r="E5" s="21"/>
      <c r="F5" s="21">
        <v>1</v>
      </c>
    </row>
    <row r="6" spans="1:6" ht="16.5" x14ac:dyDescent="0.25">
      <c r="A6" s="669"/>
      <c r="B6" s="672"/>
      <c r="C6" s="10" t="s">
        <v>5</v>
      </c>
      <c r="D6" s="11" t="s">
        <v>22</v>
      </c>
      <c r="E6" s="6"/>
      <c r="F6" s="6">
        <v>1</v>
      </c>
    </row>
    <row r="7" spans="1:6" ht="34.5" customHeight="1" x14ac:dyDescent="0.25">
      <c r="A7" s="669"/>
      <c r="B7" s="672"/>
      <c r="C7" s="23" t="s">
        <v>6</v>
      </c>
      <c r="D7" s="11" t="s">
        <v>29</v>
      </c>
      <c r="E7" s="41"/>
      <c r="F7" s="41">
        <v>1</v>
      </c>
    </row>
    <row r="8" spans="1:6" ht="34.5" customHeight="1" x14ac:dyDescent="0.25">
      <c r="A8" s="669"/>
      <c r="B8" s="672"/>
      <c r="C8" s="25" t="s">
        <v>25</v>
      </c>
      <c r="D8" s="26"/>
      <c r="E8" s="310"/>
      <c r="F8" s="310"/>
    </row>
    <row r="9" spans="1:6" ht="19.899999999999999" customHeight="1" x14ac:dyDescent="0.25">
      <c r="A9" s="669"/>
      <c r="B9" s="672"/>
      <c r="C9" s="293" t="s">
        <v>154</v>
      </c>
      <c r="D9" s="26" t="s">
        <v>14</v>
      </c>
      <c r="E9" s="26"/>
      <c r="F9" s="26">
        <v>0</v>
      </c>
    </row>
    <row r="10" spans="1:6" ht="19.899999999999999" customHeight="1" x14ac:dyDescent="0.25">
      <c r="A10" s="669"/>
      <c r="B10" s="672"/>
      <c r="C10" s="293" t="s">
        <v>155</v>
      </c>
      <c r="D10" s="26" t="s">
        <v>14</v>
      </c>
      <c r="E10" s="26"/>
      <c r="F10" s="26">
        <v>1</v>
      </c>
    </row>
    <row r="11" spans="1:6" ht="19.899999999999999" customHeight="1" x14ac:dyDescent="0.25">
      <c r="A11" s="669"/>
      <c r="B11" s="672"/>
      <c r="C11" s="293" t="s">
        <v>156</v>
      </c>
      <c r="D11" s="26" t="s">
        <v>14</v>
      </c>
      <c r="E11" s="26"/>
      <c r="F11" s="26">
        <v>1.4</v>
      </c>
    </row>
    <row r="12" spans="1:6" ht="19.899999999999999" customHeight="1" x14ac:dyDescent="0.25">
      <c r="A12" s="669"/>
      <c r="B12" s="672"/>
      <c r="C12" s="293" t="s">
        <v>157</v>
      </c>
      <c r="D12" s="26" t="s">
        <v>14</v>
      </c>
      <c r="E12" s="26"/>
      <c r="F12" s="26">
        <v>1.9</v>
      </c>
    </row>
    <row r="13" spans="1:6" ht="19.899999999999999" customHeight="1" x14ac:dyDescent="0.25">
      <c r="A13" s="669"/>
      <c r="B13" s="672"/>
      <c r="C13" s="293" t="s">
        <v>158</v>
      </c>
      <c r="D13" s="26" t="s">
        <v>14</v>
      </c>
      <c r="E13" s="26"/>
      <c r="F13" s="26">
        <v>2</v>
      </c>
    </row>
    <row r="14" spans="1:6" ht="19.899999999999999" customHeight="1" x14ac:dyDescent="0.25">
      <c r="A14" s="669"/>
      <c r="B14" s="672"/>
      <c r="C14" s="293" t="s">
        <v>164</v>
      </c>
      <c r="D14" s="26" t="s">
        <v>14</v>
      </c>
      <c r="E14" s="26"/>
      <c r="F14" s="26">
        <v>2.4</v>
      </c>
    </row>
    <row r="15" spans="1:6" ht="19.899999999999999" customHeight="1" x14ac:dyDescent="0.25">
      <c r="A15" s="669"/>
      <c r="B15" s="672"/>
      <c r="C15" s="293" t="s">
        <v>160</v>
      </c>
      <c r="D15" s="26" t="s">
        <v>14</v>
      </c>
      <c r="E15" s="26"/>
      <c r="F15" s="26">
        <v>3</v>
      </c>
    </row>
    <row r="16" spans="1:6" ht="19.899999999999999" customHeight="1" x14ac:dyDescent="0.25">
      <c r="A16" s="669"/>
      <c r="B16" s="672"/>
      <c r="C16" s="293" t="s">
        <v>163</v>
      </c>
      <c r="D16" s="26" t="s">
        <v>14</v>
      </c>
      <c r="E16" s="26"/>
      <c r="F16" s="26">
        <v>3.3</v>
      </c>
    </row>
    <row r="17" spans="1:6" ht="19.899999999999999" customHeight="1" x14ac:dyDescent="0.25">
      <c r="A17" s="669"/>
      <c r="B17" s="672"/>
      <c r="C17" s="293" t="s">
        <v>162</v>
      </c>
      <c r="D17" s="26" t="s">
        <v>14</v>
      </c>
      <c r="E17" s="26"/>
      <c r="F17" s="26">
        <v>3.9</v>
      </c>
    </row>
    <row r="18" spans="1:6" ht="34.5" customHeight="1" x14ac:dyDescent="0.25">
      <c r="A18" s="670"/>
      <c r="B18" s="673"/>
      <c r="C18" s="43" t="s">
        <v>15</v>
      </c>
      <c r="D18" s="51" t="s">
        <v>23</v>
      </c>
      <c r="E18" s="44"/>
      <c r="F18" s="44">
        <v>2</v>
      </c>
    </row>
    <row r="19" spans="1:6" ht="34.5" customHeight="1" x14ac:dyDescent="0.25">
      <c r="A19" s="300">
        <v>2</v>
      </c>
      <c r="B19" s="306" t="s">
        <v>40</v>
      </c>
      <c r="C19" s="208" t="s">
        <v>141</v>
      </c>
      <c r="D19" s="19" t="s">
        <v>44</v>
      </c>
      <c r="E19" s="19">
        <v>6</v>
      </c>
      <c r="F19" s="19"/>
    </row>
    <row r="20" spans="1:6" ht="34.5" customHeight="1" x14ac:dyDescent="0.25">
      <c r="A20" s="301"/>
      <c r="B20" s="307"/>
      <c r="C20" s="30" t="s">
        <v>18</v>
      </c>
      <c r="D20" s="6"/>
      <c r="E20" s="6"/>
      <c r="F20" s="21"/>
    </row>
    <row r="21" spans="1:6" ht="34.5" customHeight="1" x14ac:dyDescent="0.25">
      <c r="A21" s="301"/>
      <c r="B21" s="307"/>
      <c r="C21" s="8" t="s">
        <v>7</v>
      </c>
      <c r="D21" s="6" t="s">
        <v>20</v>
      </c>
      <c r="E21" s="6">
        <v>0.4</v>
      </c>
      <c r="F21" s="21"/>
    </row>
    <row r="22" spans="1:6" ht="16.5" x14ac:dyDescent="0.25">
      <c r="A22" s="301"/>
      <c r="B22" s="307"/>
      <c r="C22" s="10" t="s">
        <v>8</v>
      </c>
      <c r="D22" s="11" t="s">
        <v>21</v>
      </c>
      <c r="E22" s="6">
        <v>0.2</v>
      </c>
      <c r="F22" s="21"/>
    </row>
    <row r="23" spans="1:6" ht="16.5" x14ac:dyDescent="0.25">
      <c r="A23" s="301"/>
      <c r="B23" s="307"/>
      <c r="C23" s="8" t="s">
        <v>19</v>
      </c>
      <c r="D23" s="11" t="s">
        <v>21</v>
      </c>
      <c r="E23" s="6">
        <v>0.5</v>
      </c>
      <c r="F23" s="21"/>
    </row>
    <row r="24" spans="1:6" ht="34.5" customHeight="1" x14ac:dyDescent="0.25">
      <c r="A24" s="302"/>
      <c r="B24" s="308"/>
      <c r="C24" s="46" t="s">
        <v>5</v>
      </c>
      <c r="D24" s="15" t="s">
        <v>22</v>
      </c>
      <c r="E24" s="12">
        <v>1</v>
      </c>
      <c r="F24" s="45"/>
    </row>
    <row r="25" spans="1:6" ht="34.5" customHeight="1" x14ac:dyDescent="0.25">
      <c r="A25" s="677">
        <v>3</v>
      </c>
      <c r="B25" s="680" t="s">
        <v>41</v>
      </c>
      <c r="C25" s="42" t="s">
        <v>149</v>
      </c>
      <c r="D25" s="19" t="s">
        <v>44</v>
      </c>
      <c r="E25" s="19">
        <v>6</v>
      </c>
      <c r="F25" s="19"/>
    </row>
    <row r="26" spans="1:6" ht="34.5" customHeight="1" x14ac:dyDescent="0.25">
      <c r="A26" s="678"/>
      <c r="B26" s="681"/>
      <c r="C26" s="30" t="s">
        <v>18</v>
      </c>
      <c r="D26" s="6"/>
      <c r="E26" s="6"/>
      <c r="F26" s="24"/>
    </row>
    <row r="27" spans="1:6" ht="34.5" customHeight="1" x14ac:dyDescent="0.25">
      <c r="A27" s="678"/>
      <c r="B27" s="681"/>
      <c r="C27" s="8" t="s">
        <v>7</v>
      </c>
      <c r="D27" s="6" t="s">
        <v>20</v>
      </c>
      <c r="E27" s="6">
        <v>1.5</v>
      </c>
      <c r="F27" s="24"/>
    </row>
    <row r="28" spans="1:6" ht="34.5" customHeight="1" x14ac:dyDescent="0.25">
      <c r="A28" s="678"/>
      <c r="B28" s="681"/>
      <c r="C28" s="10" t="s">
        <v>8</v>
      </c>
      <c r="D28" s="11" t="s">
        <v>21</v>
      </c>
      <c r="E28" s="6">
        <v>0.5</v>
      </c>
      <c r="F28" s="24"/>
    </row>
    <row r="29" spans="1:6" ht="34.5" customHeight="1" x14ac:dyDescent="0.25">
      <c r="A29" s="678"/>
      <c r="B29" s="681"/>
      <c r="C29" s="8" t="s">
        <v>19</v>
      </c>
      <c r="D29" s="11" t="s">
        <v>21</v>
      </c>
      <c r="E29" s="6">
        <v>2</v>
      </c>
      <c r="F29" s="24"/>
    </row>
    <row r="30" spans="1:6" ht="34.5" customHeight="1" x14ac:dyDescent="0.25">
      <c r="A30" s="679"/>
      <c r="B30" s="682"/>
      <c r="C30" s="46" t="s">
        <v>5</v>
      </c>
      <c r="D30" s="15" t="s">
        <v>22</v>
      </c>
      <c r="E30" s="12">
        <v>1</v>
      </c>
      <c r="F30" s="33"/>
    </row>
    <row r="31" spans="1:6" ht="49.5" x14ac:dyDescent="0.25">
      <c r="A31" s="683">
        <v>4</v>
      </c>
      <c r="B31" s="306" t="s">
        <v>42</v>
      </c>
      <c r="C31" s="42" t="s">
        <v>170</v>
      </c>
      <c r="D31" s="19" t="s">
        <v>44</v>
      </c>
      <c r="E31" s="19">
        <v>3</v>
      </c>
      <c r="F31" s="47"/>
    </row>
    <row r="32" spans="1:6" ht="34.5" customHeight="1" x14ac:dyDescent="0.25">
      <c r="A32" s="683"/>
      <c r="B32" s="49"/>
      <c r="C32" s="30" t="s">
        <v>18</v>
      </c>
      <c r="D32" s="6"/>
      <c r="E32" s="6"/>
      <c r="F32" s="24"/>
    </row>
    <row r="33" spans="1:6" ht="34.5" customHeight="1" x14ac:dyDescent="0.25">
      <c r="A33" s="683"/>
      <c r="B33" s="49"/>
      <c r="C33" s="8" t="s">
        <v>7</v>
      </c>
      <c r="D33" s="6" t="s">
        <v>20</v>
      </c>
      <c r="E33" s="6">
        <v>0.5</v>
      </c>
      <c r="F33" s="24"/>
    </row>
    <row r="34" spans="1:6" ht="34.5" customHeight="1" x14ac:dyDescent="0.25">
      <c r="A34" s="684"/>
      <c r="B34" s="50"/>
      <c r="C34" s="46" t="s">
        <v>8</v>
      </c>
      <c r="D34" s="15" t="s">
        <v>21</v>
      </c>
      <c r="E34" s="12">
        <v>0.3</v>
      </c>
      <c r="F34" s="33"/>
    </row>
    <row r="35" spans="1:6" ht="34.5" customHeight="1" x14ac:dyDescent="0.25">
      <c r="A35" s="683">
        <v>5</v>
      </c>
      <c r="B35" s="685" t="s">
        <v>43</v>
      </c>
      <c r="C35" s="42" t="s">
        <v>45</v>
      </c>
      <c r="D35" s="19" t="s">
        <v>44</v>
      </c>
      <c r="E35" s="19">
        <v>1</v>
      </c>
      <c r="F35" s="47"/>
    </row>
    <row r="36" spans="1:6" ht="34.5" customHeight="1" x14ac:dyDescent="0.25">
      <c r="A36" s="683"/>
      <c r="B36" s="686"/>
      <c r="C36" s="30" t="s">
        <v>18</v>
      </c>
      <c r="D36" s="6"/>
      <c r="E36" s="6"/>
      <c r="F36" s="24"/>
    </row>
    <row r="37" spans="1:6" ht="34.5" customHeight="1" x14ac:dyDescent="0.25">
      <c r="A37" s="683"/>
      <c r="B37" s="686"/>
      <c r="C37" s="8" t="s">
        <v>7</v>
      </c>
      <c r="D37" s="6" t="s">
        <v>20</v>
      </c>
      <c r="E37" s="6">
        <v>0.3</v>
      </c>
      <c r="F37" s="24"/>
    </row>
    <row r="38" spans="1:6" ht="34.5" customHeight="1" x14ac:dyDescent="0.25">
      <c r="A38" s="684"/>
      <c r="B38" s="687"/>
      <c r="C38" s="46" t="s">
        <v>8</v>
      </c>
      <c r="D38" s="15" t="s">
        <v>21</v>
      </c>
      <c r="E38" s="12">
        <v>0.2</v>
      </c>
      <c r="F38" s="33"/>
    </row>
    <row r="39" spans="1:6" ht="33" x14ac:dyDescent="0.25">
      <c r="A39" s="674">
        <v>6</v>
      </c>
      <c r="B39" s="92" t="s">
        <v>72</v>
      </c>
      <c r="C39" s="42" t="s">
        <v>149</v>
      </c>
      <c r="D39" s="72" t="s">
        <v>65</v>
      </c>
      <c r="E39" s="72">
        <v>4</v>
      </c>
      <c r="F39" s="70"/>
    </row>
    <row r="40" spans="1:6" ht="16.5" x14ac:dyDescent="0.25">
      <c r="A40" s="675"/>
      <c r="B40" s="76"/>
      <c r="C40" s="30" t="s">
        <v>18</v>
      </c>
      <c r="D40" s="6"/>
      <c r="E40" s="6"/>
      <c r="F40" s="77"/>
    </row>
    <row r="41" spans="1:6" ht="16.5" x14ac:dyDescent="0.25">
      <c r="A41" s="675"/>
      <c r="B41" s="76"/>
      <c r="C41" s="8" t="s">
        <v>7</v>
      </c>
      <c r="D41" s="6" t="s">
        <v>20</v>
      </c>
      <c r="E41" s="9">
        <v>0.5</v>
      </c>
      <c r="F41" s="77"/>
    </row>
    <row r="42" spans="1:6" ht="16.5" x14ac:dyDescent="0.25">
      <c r="A42" s="675"/>
      <c r="B42" s="76"/>
      <c r="C42" s="10" t="s">
        <v>8</v>
      </c>
      <c r="D42" s="73" t="s">
        <v>21</v>
      </c>
      <c r="E42" s="6">
        <v>0.3</v>
      </c>
      <c r="F42" s="77"/>
    </row>
    <row r="43" spans="1:6" ht="16.5" x14ac:dyDescent="0.25">
      <c r="A43" s="675"/>
      <c r="B43" s="76"/>
      <c r="C43" s="14" t="s">
        <v>19</v>
      </c>
      <c r="D43" s="79" t="s">
        <v>21</v>
      </c>
      <c r="E43" s="6">
        <v>0.5</v>
      </c>
      <c r="F43" s="77"/>
    </row>
    <row r="44" spans="1:6" ht="30" customHeight="1" x14ac:dyDescent="0.25">
      <c r="A44" s="674">
        <v>7</v>
      </c>
      <c r="B44" s="71" t="s">
        <v>56</v>
      </c>
      <c r="C44" s="42" t="s">
        <v>150</v>
      </c>
      <c r="D44" s="72" t="s">
        <v>65</v>
      </c>
      <c r="E44" s="72">
        <v>1</v>
      </c>
      <c r="F44" s="70"/>
    </row>
    <row r="45" spans="1:6" ht="16.5" x14ac:dyDescent="0.25">
      <c r="A45" s="675"/>
      <c r="B45" s="81"/>
      <c r="C45" s="30" t="s">
        <v>18</v>
      </c>
      <c r="D45" s="6"/>
      <c r="E45" s="6"/>
      <c r="F45" s="77"/>
    </row>
    <row r="46" spans="1:6" ht="16.5" x14ac:dyDescent="0.25">
      <c r="A46" s="675"/>
      <c r="B46" s="81"/>
      <c r="C46" s="8" t="s">
        <v>7</v>
      </c>
      <c r="D46" s="6" t="s">
        <v>20</v>
      </c>
      <c r="E46" s="6">
        <v>0.1</v>
      </c>
      <c r="F46" s="77"/>
    </row>
    <row r="47" spans="1:6" ht="16.5" x14ac:dyDescent="0.25">
      <c r="A47" s="675"/>
      <c r="B47" s="81"/>
      <c r="C47" s="10" t="s">
        <v>8</v>
      </c>
      <c r="D47" s="73" t="s">
        <v>21</v>
      </c>
      <c r="E47" s="6">
        <v>0.08</v>
      </c>
      <c r="F47" s="77"/>
    </row>
    <row r="48" spans="1:6" ht="66" x14ac:dyDescent="0.25">
      <c r="A48" s="298">
        <v>8</v>
      </c>
      <c r="B48" s="303" t="s">
        <v>148</v>
      </c>
      <c r="C48" s="42" t="s">
        <v>151</v>
      </c>
      <c r="D48" s="72" t="s">
        <v>65</v>
      </c>
      <c r="E48" s="72">
        <v>1</v>
      </c>
      <c r="F48" s="70"/>
    </row>
    <row r="49" spans="1:6" ht="33" x14ac:dyDescent="0.25">
      <c r="A49" s="299">
        <v>9</v>
      </c>
      <c r="B49" s="690" t="s">
        <v>147</v>
      </c>
      <c r="C49" s="42" t="s">
        <v>151</v>
      </c>
      <c r="D49" s="72" t="s">
        <v>65</v>
      </c>
      <c r="E49" s="72">
        <v>6</v>
      </c>
      <c r="F49" s="70"/>
    </row>
    <row r="50" spans="1:6" ht="20.100000000000001" customHeight="1" x14ac:dyDescent="0.25">
      <c r="A50" s="299"/>
      <c r="B50" s="691"/>
      <c r="C50" s="30" t="s">
        <v>18</v>
      </c>
      <c r="D50" s="6"/>
      <c r="E50" s="6"/>
      <c r="F50" s="77"/>
    </row>
    <row r="51" spans="1:6" ht="20.100000000000001" customHeight="1" x14ac:dyDescent="0.25">
      <c r="A51" s="299"/>
      <c r="B51" s="691"/>
      <c r="C51" s="8" t="s">
        <v>7</v>
      </c>
      <c r="D51" s="6" t="s">
        <v>20</v>
      </c>
      <c r="E51" s="9">
        <v>0.4</v>
      </c>
      <c r="F51" s="77"/>
    </row>
    <row r="52" spans="1:6" ht="20.100000000000001" customHeight="1" x14ac:dyDescent="0.25">
      <c r="A52" s="299"/>
      <c r="B52" s="691"/>
      <c r="C52" s="10" t="s">
        <v>8</v>
      </c>
      <c r="D52" s="73" t="s">
        <v>21</v>
      </c>
      <c r="E52" s="6">
        <v>0.3</v>
      </c>
      <c r="F52" s="77"/>
    </row>
    <row r="53" spans="1:6" ht="20.100000000000001" customHeight="1" x14ac:dyDescent="0.25">
      <c r="A53" s="299"/>
      <c r="B53" s="691"/>
      <c r="C53" s="14" t="s">
        <v>19</v>
      </c>
      <c r="D53" s="79" t="s">
        <v>21</v>
      </c>
      <c r="E53" s="6">
        <v>1</v>
      </c>
      <c r="F53" s="80"/>
    </row>
    <row r="54" spans="1:6" ht="66" x14ac:dyDescent="0.25">
      <c r="A54" s="84">
        <v>10</v>
      </c>
      <c r="B54" s="56" t="s">
        <v>49</v>
      </c>
      <c r="C54" s="1"/>
      <c r="D54" s="74"/>
      <c r="E54" s="68"/>
      <c r="F54" s="1"/>
    </row>
    <row r="55" spans="1:6" ht="66" x14ac:dyDescent="0.25">
      <c r="A55" s="688" t="s">
        <v>173</v>
      </c>
      <c r="B55" s="75" t="s">
        <v>50</v>
      </c>
      <c r="C55" s="42" t="s">
        <v>149</v>
      </c>
      <c r="D55" s="72" t="s">
        <v>65</v>
      </c>
      <c r="E55" s="72">
        <v>4</v>
      </c>
      <c r="F55" s="70"/>
    </row>
    <row r="56" spans="1:6" ht="30" customHeight="1" x14ac:dyDescent="0.25">
      <c r="A56" s="689"/>
      <c r="B56" s="76"/>
      <c r="C56" s="30" t="s">
        <v>18</v>
      </c>
      <c r="D56" s="6"/>
      <c r="E56" s="6"/>
      <c r="F56" s="77"/>
    </row>
    <row r="57" spans="1:6" ht="16.5" x14ac:dyDescent="0.25">
      <c r="A57" s="689"/>
      <c r="B57" s="76"/>
      <c r="C57" s="8" t="s">
        <v>7</v>
      </c>
      <c r="D57" s="6" t="s">
        <v>20</v>
      </c>
      <c r="E57" s="206">
        <v>1</v>
      </c>
      <c r="F57" s="77"/>
    </row>
    <row r="58" spans="1:6" ht="16.5" x14ac:dyDescent="0.25">
      <c r="A58" s="689"/>
      <c r="B58" s="76"/>
      <c r="C58" s="10" t="s">
        <v>8</v>
      </c>
      <c r="D58" s="73" t="s">
        <v>21</v>
      </c>
      <c r="E58" s="6">
        <v>0.5</v>
      </c>
      <c r="F58" s="77"/>
    </row>
    <row r="59" spans="1:6" ht="16.5" x14ac:dyDescent="0.25">
      <c r="A59" s="689"/>
      <c r="B59" s="78"/>
      <c r="C59" s="82" t="s">
        <v>19</v>
      </c>
      <c r="D59" s="79" t="s">
        <v>21</v>
      </c>
      <c r="E59" s="6">
        <v>0.5</v>
      </c>
      <c r="F59" s="80"/>
    </row>
    <row r="60" spans="1:6" ht="49.5" x14ac:dyDescent="0.25">
      <c r="A60" s="688" t="s">
        <v>175</v>
      </c>
      <c r="B60" s="75" t="s">
        <v>51</v>
      </c>
      <c r="C60" s="42" t="s">
        <v>152</v>
      </c>
      <c r="D60" s="72" t="s">
        <v>65</v>
      </c>
      <c r="E60" s="72">
        <v>3</v>
      </c>
      <c r="F60" s="70"/>
    </row>
    <row r="61" spans="1:6" ht="16.5" x14ac:dyDescent="0.25">
      <c r="A61" s="689"/>
      <c r="B61" s="76"/>
      <c r="C61" s="30" t="s">
        <v>18</v>
      </c>
      <c r="D61" s="6"/>
      <c r="E61" s="6"/>
      <c r="F61" s="77"/>
    </row>
    <row r="62" spans="1:6" ht="16.5" x14ac:dyDescent="0.25">
      <c r="A62" s="689"/>
      <c r="B62" s="76"/>
      <c r="C62" s="8" t="s">
        <v>7</v>
      </c>
      <c r="D62" s="6" t="s">
        <v>20</v>
      </c>
      <c r="E62" s="6">
        <v>0.5</v>
      </c>
      <c r="F62" s="77"/>
    </row>
    <row r="63" spans="1:6" ht="16.5" x14ac:dyDescent="0.25">
      <c r="A63" s="689"/>
      <c r="B63" s="76"/>
      <c r="C63" s="10" t="s">
        <v>8</v>
      </c>
      <c r="D63" s="73" t="s">
        <v>21</v>
      </c>
      <c r="E63" s="6">
        <v>0.2</v>
      </c>
      <c r="F63" s="77"/>
    </row>
    <row r="64" spans="1:6" ht="16.5" x14ac:dyDescent="0.25">
      <c r="A64" s="689"/>
      <c r="B64" s="78"/>
      <c r="C64" s="14" t="s">
        <v>19</v>
      </c>
      <c r="D64" s="79" t="s">
        <v>21</v>
      </c>
      <c r="E64" s="12">
        <v>1</v>
      </c>
      <c r="F64" s="80"/>
    </row>
    <row r="65" spans="1:6" ht="30" customHeight="1" x14ac:dyDescent="0.25">
      <c r="A65" s="674" t="s">
        <v>176</v>
      </c>
      <c r="B65" s="75" t="s">
        <v>52</v>
      </c>
      <c r="C65" s="42" t="s">
        <v>37</v>
      </c>
      <c r="D65" s="72" t="s">
        <v>65</v>
      </c>
      <c r="E65" s="72">
        <v>1</v>
      </c>
      <c r="F65" s="70"/>
    </row>
    <row r="66" spans="1:6" ht="16.5" x14ac:dyDescent="0.25">
      <c r="A66" s="675"/>
      <c r="B66" s="76"/>
      <c r="C66" s="30" t="s">
        <v>18</v>
      </c>
      <c r="D66" s="6"/>
      <c r="E66" s="6"/>
      <c r="F66" s="77"/>
    </row>
    <row r="67" spans="1:6" ht="16.5" x14ac:dyDescent="0.25">
      <c r="A67" s="675"/>
      <c r="B67" s="76"/>
      <c r="C67" s="8" t="s">
        <v>7</v>
      </c>
      <c r="D67" s="6" t="s">
        <v>20</v>
      </c>
      <c r="E67" s="6">
        <v>0.2</v>
      </c>
      <c r="F67" s="77"/>
    </row>
    <row r="68" spans="1:6" ht="16.5" x14ac:dyDescent="0.25">
      <c r="A68" s="675"/>
      <c r="B68" s="78"/>
      <c r="C68" s="46" t="s">
        <v>8</v>
      </c>
      <c r="D68" s="79" t="s">
        <v>21</v>
      </c>
      <c r="E68" s="12">
        <v>0.1</v>
      </c>
      <c r="F68" s="80"/>
    </row>
    <row r="69" spans="1:6" ht="33" x14ac:dyDescent="0.25">
      <c r="A69" s="674" t="s">
        <v>177</v>
      </c>
      <c r="B69" s="75" t="s">
        <v>53</v>
      </c>
      <c r="C69" s="42" t="s">
        <v>153</v>
      </c>
      <c r="D69" s="72" t="s">
        <v>65</v>
      </c>
      <c r="E69" s="72">
        <v>2</v>
      </c>
      <c r="F69" s="70"/>
    </row>
    <row r="70" spans="1:6" ht="30" customHeight="1" x14ac:dyDescent="0.25">
      <c r="A70" s="675"/>
      <c r="B70" s="76"/>
      <c r="C70" s="30" t="s">
        <v>18</v>
      </c>
      <c r="D70" s="6"/>
      <c r="E70" s="6"/>
      <c r="F70" s="77"/>
    </row>
    <row r="71" spans="1:6" ht="16.5" x14ac:dyDescent="0.25">
      <c r="A71" s="675"/>
      <c r="B71" s="76"/>
      <c r="C71" s="8" t="s">
        <v>7</v>
      </c>
      <c r="D71" s="6" t="s">
        <v>20</v>
      </c>
      <c r="E71" s="6">
        <v>0.5</v>
      </c>
      <c r="F71" s="77"/>
    </row>
    <row r="72" spans="1:6" ht="16.5" x14ac:dyDescent="0.25">
      <c r="A72" s="675"/>
      <c r="B72" s="76"/>
      <c r="C72" s="10" t="s">
        <v>8</v>
      </c>
      <c r="D72" s="73" t="s">
        <v>21</v>
      </c>
      <c r="E72" s="6">
        <v>0.3</v>
      </c>
      <c r="F72" s="77"/>
    </row>
    <row r="73" spans="1:6" ht="16.5" x14ac:dyDescent="0.25">
      <c r="A73" s="675"/>
      <c r="B73" s="78"/>
      <c r="C73" s="82" t="s">
        <v>19</v>
      </c>
      <c r="D73" s="79" t="s">
        <v>21</v>
      </c>
      <c r="E73" s="12">
        <v>0.5</v>
      </c>
      <c r="F73" s="80"/>
    </row>
    <row r="74" spans="1:6" ht="165" x14ac:dyDescent="0.25">
      <c r="A74" s="84">
        <v>11</v>
      </c>
      <c r="B74" s="54" t="s">
        <v>54</v>
      </c>
      <c r="C74" s="1"/>
      <c r="D74" s="74"/>
      <c r="E74" s="68"/>
      <c r="F74" s="1"/>
    </row>
    <row r="75" spans="1:6" ht="115.5" x14ac:dyDescent="0.25">
      <c r="A75" s="296" t="s">
        <v>178</v>
      </c>
      <c r="B75" s="55" t="s">
        <v>66</v>
      </c>
      <c r="C75" s="42" t="s">
        <v>48</v>
      </c>
      <c r="D75" s="72" t="s">
        <v>65</v>
      </c>
      <c r="E75" s="72">
        <v>4</v>
      </c>
      <c r="F75" s="70"/>
    </row>
    <row r="76" spans="1:6" ht="49.5" x14ac:dyDescent="0.25">
      <c r="A76" s="688" t="s">
        <v>174</v>
      </c>
      <c r="B76" s="75" t="s">
        <v>67</v>
      </c>
      <c r="C76" s="42" t="s">
        <v>68</v>
      </c>
      <c r="D76" s="72" t="s">
        <v>65</v>
      </c>
      <c r="E76" s="294">
        <v>4</v>
      </c>
      <c r="F76" s="70"/>
    </row>
    <row r="77" spans="1:6" ht="16.5" x14ac:dyDescent="0.25">
      <c r="A77" s="689"/>
      <c r="B77" s="81"/>
      <c r="C77" s="30" t="s">
        <v>18</v>
      </c>
      <c r="D77" s="6"/>
      <c r="E77" s="6"/>
      <c r="F77" s="77"/>
    </row>
    <row r="78" spans="1:6" ht="16.5" x14ac:dyDescent="0.25">
      <c r="A78" s="689"/>
      <c r="B78" s="81"/>
      <c r="C78" s="8" t="s">
        <v>7</v>
      </c>
      <c r="D78" s="6" t="s">
        <v>20</v>
      </c>
      <c r="E78" s="6">
        <v>0.4</v>
      </c>
      <c r="F78" s="77"/>
    </row>
    <row r="79" spans="1:6" ht="16.5" x14ac:dyDescent="0.25">
      <c r="A79" s="689"/>
      <c r="B79" s="81"/>
      <c r="C79" s="10" t="s">
        <v>8</v>
      </c>
      <c r="D79" s="73" t="s">
        <v>21</v>
      </c>
      <c r="E79" s="6">
        <v>0.2</v>
      </c>
      <c r="F79" s="77"/>
    </row>
    <row r="80" spans="1:6" ht="16.5" x14ac:dyDescent="0.25">
      <c r="A80" s="689"/>
      <c r="B80" s="81"/>
      <c r="C80" s="66" t="s">
        <v>19</v>
      </c>
      <c r="D80" s="73" t="s">
        <v>21</v>
      </c>
      <c r="E80" s="6">
        <v>0.5</v>
      </c>
      <c r="F80" s="77"/>
    </row>
    <row r="81" spans="1:6" ht="33" x14ac:dyDescent="0.25">
      <c r="A81" s="93" t="s">
        <v>179</v>
      </c>
      <c r="B81" s="55" t="s">
        <v>129</v>
      </c>
      <c r="C81" s="83" t="s">
        <v>149</v>
      </c>
      <c r="D81" s="68" t="s">
        <v>65</v>
      </c>
      <c r="E81" s="68"/>
      <c r="F81" s="162">
        <v>1</v>
      </c>
    </row>
    <row r="82" spans="1:6" ht="33" customHeight="1" x14ac:dyDescent="0.25">
      <c r="A82" s="296"/>
      <c r="B82" s="75"/>
      <c r="C82" s="163" t="s">
        <v>25</v>
      </c>
      <c r="D82" s="164"/>
      <c r="E82" s="309"/>
      <c r="F82" s="70"/>
    </row>
    <row r="83" spans="1:6" ht="18.75" x14ac:dyDescent="0.25">
      <c r="A83" s="297"/>
      <c r="B83" s="76"/>
      <c r="C83" s="293" t="s">
        <v>154</v>
      </c>
      <c r="D83" s="26" t="s">
        <v>14</v>
      </c>
      <c r="E83" s="26"/>
      <c r="F83" s="26">
        <v>0</v>
      </c>
    </row>
    <row r="84" spans="1:6" ht="18.75" x14ac:dyDescent="0.25">
      <c r="A84" s="297"/>
      <c r="B84" s="76"/>
      <c r="C84" s="293" t="s">
        <v>155</v>
      </c>
      <c r="D84" s="26" t="s">
        <v>14</v>
      </c>
      <c r="E84" s="26"/>
      <c r="F84" s="26">
        <v>1</v>
      </c>
    </row>
    <row r="85" spans="1:6" ht="18.75" x14ac:dyDescent="0.25">
      <c r="A85" s="297"/>
      <c r="B85" s="76"/>
      <c r="C85" s="293" t="s">
        <v>156</v>
      </c>
      <c r="D85" s="26" t="s">
        <v>14</v>
      </c>
      <c r="E85" s="26"/>
      <c r="F85" s="26">
        <v>1.4</v>
      </c>
    </row>
    <row r="86" spans="1:6" ht="18.75" x14ac:dyDescent="0.25">
      <c r="A86" s="297"/>
      <c r="B86" s="76"/>
      <c r="C86" s="293" t="s">
        <v>157</v>
      </c>
      <c r="D86" s="26" t="s">
        <v>14</v>
      </c>
      <c r="E86" s="26"/>
      <c r="F86" s="26">
        <v>1.9</v>
      </c>
    </row>
    <row r="87" spans="1:6" ht="18.75" x14ac:dyDescent="0.25">
      <c r="A87" s="297"/>
      <c r="B87" s="76"/>
      <c r="C87" s="293" t="s">
        <v>158</v>
      </c>
      <c r="D87" s="26"/>
      <c r="E87" s="26"/>
      <c r="F87" s="26">
        <v>2</v>
      </c>
    </row>
    <row r="88" spans="1:6" ht="18.75" x14ac:dyDescent="0.25">
      <c r="A88" s="297"/>
      <c r="B88" s="76"/>
      <c r="C88" s="293" t="s">
        <v>159</v>
      </c>
      <c r="D88" s="26" t="s">
        <v>14</v>
      </c>
      <c r="E88" s="26"/>
      <c r="F88" s="26">
        <v>2.4</v>
      </c>
    </row>
    <row r="89" spans="1:6" ht="18.75" x14ac:dyDescent="0.25">
      <c r="A89" s="297"/>
      <c r="B89" s="76"/>
      <c r="C89" s="293" t="s">
        <v>160</v>
      </c>
      <c r="D89" s="26"/>
      <c r="E89" s="26"/>
      <c r="F89" s="26">
        <v>3</v>
      </c>
    </row>
    <row r="90" spans="1:6" ht="18.75" x14ac:dyDescent="0.25">
      <c r="A90" s="297"/>
      <c r="B90" s="76"/>
      <c r="C90" s="293" t="s">
        <v>161</v>
      </c>
      <c r="D90" s="26" t="s">
        <v>14</v>
      </c>
      <c r="E90" s="26"/>
      <c r="F90" s="26">
        <v>3.3</v>
      </c>
    </row>
    <row r="91" spans="1:6" ht="18.75" x14ac:dyDescent="0.25">
      <c r="A91" s="297"/>
      <c r="B91" s="76"/>
      <c r="C91" s="293" t="s">
        <v>162</v>
      </c>
      <c r="D91" s="26" t="s">
        <v>14</v>
      </c>
      <c r="E91" s="26"/>
      <c r="F91" s="26">
        <v>3.9</v>
      </c>
    </row>
    <row r="92" spans="1:6" ht="16.5" x14ac:dyDescent="0.25">
      <c r="A92" s="165"/>
      <c r="B92" s="78"/>
      <c r="C92" s="43" t="s">
        <v>15</v>
      </c>
      <c r="D92" s="51" t="s">
        <v>23</v>
      </c>
      <c r="E92" s="44"/>
      <c r="F92" s="295">
        <v>3</v>
      </c>
    </row>
    <row r="93" spans="1:6" ht="33" x14ac:dyDescent="0.25">
      <c r="A93" s="297" t="s">
        <v>180</v>
      </c>
      <c r="B93" s="167" t="s">
        <v>130</v>
      </c>
      <c r="C93" s="42" t="s">
        <v>132</v>
      </c>
      <c r="D93" s="72" t="s">
        <v>65</v>
      </c>
      <c r="E93" s="72">
        <v>3</v>
      </c>
      <c r="F93" s="77"/>
    </row>
    <row r="94" spans="1:6" ht="16.5" x14ac:dyDescent="0.25">
      <c r="A94" s="297"/>
      <c r="B94" s="76"/>
      <c r="C94" s="30" t="s">
        <v>18</v>
      </c>
      <c r="D94" s="6"/>
      <c r="E94" s="6"/>
      <c r="F94" s="77"/>
    </row>
    <row r="95" spans="1:6" ht="16.5" x14ac:dyDescent="0.25">
      <c r="A95" s="297"/>
      <c r="B95" s="76"/>
      <c r="C95" s="8" t="s">
        <v>7</v>
      </c>
      <c r="D95" s="6" t="s">
        <v>20</v>
      </c>
      <c r="E95" s="6">
        <v>0.3</v>
      </c>
      <c r="F95" s="77"/>
    </row>
    <row r="96" spans="1:6" ht="16.5" x14ac:dyDescent="0.25">
      <c r="A96" s="165"/>
      <c r="B96" s="78"/>
      <c r="C96" s="46" t="s">
        <v>8</v>
      </c>
      <c r="D96" s="79" t="s">
        <v>21</v>
      </c>
      <c r="E96" s="12">
        <v>0.2</v>
      </c>
      <c r="F96" s="80"/>
    </row>
  </sheetData>
  <mergeCells count="20">
    <mergeCell ref="A76:A80"/>
    <mergeCell ref="A44:A47"/>
    <mergeCell ref="B49:B53"/>
    <mergeCell ref="A55:A59"/>
    <mergeCell ref="A60:A64"/>
    <mergeCell ref="A65:A68"/>
    <mergeCell ref="A69:A73"/>
    <mergeCell ref="E1:F1"/>
    <mergeCell ref="A3:A18"/>
    <mergeCell ref="B3:B18"/>
    <mergeCell ref="A39:A43"/>
    <mergeCell ref="A1:A2"/>
    <mergeCell ref="B1:B2"/>
    <mergeCell ref="C1:C2"/>
    <mergeCell ref="D1:D2"/>
    <mergeCell ref="A25:A30"/>
    <mergeCell ref="B25:B30"/>
    <mergeCell ref="A31:A34"/>
    <mergeCell ref="A35:A38"/>
    <mergeCell ref="B35:B3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0"/>
  <sheetViews>
    <sheetView topLeftCell="A202" workbookViewId="0">
      <selection activeCell="B229" sqref="B229"/>
    </sheetView>
  </sheetViews>
  <sheetFormatPr defaultColWidth="9" defaultRowHeight="15.75" x14ac:dyDescent="0.25"/>
  <cols>
    <col min="1" max="1" width="6.125" style="491" customWidth="1"/>
    <col min="2" max="2" width="23.125" style="454" customWidth="1"/>
    <col min="3" max="3" width="21.125" style="502" customWidth="1"/>
    <col min="4" max="4" width="8.5" style="454" customWidth="1"/>
    <col min="5" max="5" width="7.75" style="491" customWidth="1"/>
    <col min="6" max="6" width="8.625" style="454" customWidth="1"/>
    <col min="7" max="7" width="9" style="454"/>
    <col min="8" max="8" width="9.75" style="454" customWidth="1"/>
    <col min="9" max="16384" width="9" style="454"/>
  </cols>
  <sheetData>
    <row r="1" spans="1:8" x14ac:dyDescent="0.25">
      <c r="A1" s="720" t="s">
        <v>254</v>
      </c>
      <c r="B1" s="720"/>
      <c r="C1" s="720"/>
      <c r="D1" s="720"/>
      <c r="E1" s="720"/>
      <c r="F1" s="720"/>
      <c r="G1" s="720"/>
      <c r="H1" s="720"/>
    </row>
    <row r="3" spans="1:8" ht="47.25" customHeight="1" x14ac:dyDescent="0.25">
      <c r="A3" s="701" t="s">
        <v>0</v>
      </c>
      <c r="B3" s="701" t="s">
        <v>1</v>
      </c>
      <c r="C3" s="701" t="s">
        <v>16</v>
      </c>
      <c r="D3" s="701" t="s">
        <v>4</v>
      </c>
      <c r="E3" s="703" t="s">
        <v>240</v>
      </c>
      <c r="F3" s="704"/>
      <c r="G3" s="721" t="s">
        <v>78</v>
      </c>
      <c r="H3" s="721" t="s">
        <v>79</v>
      </c>
    </row>
    <row r="4" spans="1:8" ht="34.5" customHeight="1" x14ac:dyDescent="0.25">
      <c r="A4" s="702"/>
      <c r="B4" s="702"/>
      <c r="C4" s="702"/>
      <c r="D4" s="702"/>
      <c r="E4" s="574" t="s">
        <v>2</v>
      </c>
      <c r="F4" s="574" t="s">
        <v>3</v>
      </c>
      <c r="G4" s="721"/>
      <c r="H4" s="721"/>
    </row>
    <row r="5" spans="1:8" ht="16.5" x14ac:dyDescent="0.25">
      <c r="A5" s="455" t="s">
        <v>142</v>
      </c>
      <c r="B5" s="456" t="s">
        <v>192</v>
      </c>
      <c r="C5" s="503"/>
      <c r="D5" s="455"/>
      <c r="E5" s="455"/>
      <c r="F5" s="455"/>
      <c r="G5" s="457"/>
      <c r="H5" s="457"/>
    </row>
    <row r="6" spans="1:8" ht="66" x14ac:dyDescent="0.25">
      <c r="A6" s="458">
        <v>1</v>
      </c>
      <c r="B6" s="577" t="s">
        <v>193</v>
      </c>
      <c r="C6" s="503"/>
      <c r="D6" s="455"/>
      <c r="E6" s="455"/>
      <c r="F6" s="455"/>
      <c r="G6" s="457"/>
      <c r="H6" s="457"/>
    </row>
    <row r="7" spans="1:8" ht="34.5" customHeight="1" x14ac:dyDescent="0.25">
      <c r="A7" s="705" t="s">
        <v>194</v>
      </c>
      <c r="B7" s="708" t="s">
        <v>39</v>
      </c>
      <c r="C7" s="504" t="s">
        <v>241</v>
      </c>
      <c r="D7" s="458" t="s">
        <v>44</v>
      </c>
      <c r="E7" s="458"/>
      <c r="F7" s="458">
        <v>2</v>
      </c>
      <c r="G7" s="492">
        <f>Luong!H11+Luong!H14</f>
        <v>569430</v>
      </c>
      <c r="H7" s="492">
        <f>ROUND(F7*G7,0)</f>
        <v>1138860</v>
      </c>
    </row>
    <row r="8" spans="1:8" ht="16.5" x14ac:dyDescent="0.25">
      <c r="A8" s="706"/>
      <c r="B8" s="709"/>
      <c r="C8" s="505" t="s">
        <v>18</v>
      </c>
      <c r="D8" s="459"/>
      <c r="E8" s="459"/>
      <c r="F8" s="459"/>
      <c r="G8" s="493"/>
      <c r="H8" s="493">
        <f>SUM(H9:H11)</f>
        <v>102000</v>
      </c>
    </row>
    <row r="9" spans="1:8" ht="16.5" x14ac:dyDescent="0.25">
      <c r="A9" s="706"/>
      <c r="B9" s="709"/>
      <c r="C9" s="506" t="s">
        <v>11</v>
      </c>
      <c r="D9" s="461" t="s">
        <v>12</v>
      </c>
      <c r="E9" s="459"/>
      <c r="F9" s="459">
        <v>1</v>
      </c>
      <c r="G9" s="494">
        <v>80000</v>
      </c>
      <c r="H9" s="494">
        <f>ROUND(F9*G9,0)</f>
        <v>80000</v>
      </c>
    </row>
    <row r="10" spans="1:8" ht="16.5" x14ac:dyDescent="0.25">
      <c r="A10" s="706"/>
      <c r="B10" s="709"/>
      <c r="C10" s="507" t="s">
        <v>5</v>
      </c>
      <c r="D10" s="461" t="s">
        <v>22</v>
      </c>
      <c r="E10" s="459"/>
      <c r="F10" s="459">
        <v>1</v>
      </c>
      <c r="G10" s="494">
        <v>2000</v>
      </c>
      <c r="H10" s="494">
        <f>ROUND(F10*G10,0)</f>
        <v>2000</v>
      </c>
    </row>
    <row r="11" spans="1:8" ht="16.5" x14ac:dyDescent="0.25">
      <c r="A11" s="706"/>
      <c r="B11" s="709"/>
      <c r="C11" s="506" t="s">
        <v>6</v>
      </c>
      <c r="D11" s="461" t="s">
        <v>29</v>
      </c>
      <c r="E11" s="461"/>
      <c r="F11" s="461">
        <v>1</v>
      </c>
      <c r="G11" s="494">
        <v>20000</v>
      </c>
      <c r="H11" s="494">
        <f>ROUND(F11*G11,0)</f>
        <v>20000</v>
      </c>
    </row>
    <row r="12" spans="1:8" ht="34.5" customHeight="1" x14ac:dyDescent="0.25">
      <c r="A12" s="706"/>
      <c r="B12" s="709"/>
      <c r="C12" s="508" t="s">
        <v>242</v>
      </c>
      <c r="D12" s="459"/>
      <c r="E12" s="462"/>
      <c r="F12" s="462"/>
      <c r="G12" s="493"/>
      <c r="H12" s="493"/>
    </row>
    <row r="13" spans="1:8" ht="37.5" x14ac:dyDescent="0.25">
      <c r="A13" s="706"/>
      <c r="B13" s="709"/>
      <c r="C13" s="509" t="s">
        <v>154</v>
      </c>
      <c r="D13" s="459" t="s">
        <v>14</v>
      </c>
      <c r="E13" s="459"/>
      <c r="F13" s="459">
        <v>0</v>
      </c>
      <c r="G13" s="494"/>
      <c r="H13" s="494">
        <f>ROUND(F13*G13,0)</f>
        <v>0</v>
      </c>
    </row>
    <row r="14" spans="1:8" ht="19.899999999999999" customHeight="1" x14ac:dyDescent="0.25">
      <c r="A14" s="706"/>
      <c r="B14" s="709"/>
      <c r="C14" s="510" t="s">
        <v>155</v>
      </c>
      <c r="D14" s="459" t="s">
        <v>14</v>
      </c>
      <c r="E14" s="459"/>
      <c r="F14" s="459">
        <v>1</v>
      </c>
      <c r="G14" s="494">
        <v>21350</v>
      </c>
      <c r="H14" s="494">
        <f t="shared" ref="H14:H21" si="0">ROUND(F14*G14,0)</f>
        <v>21350</v>
      </c>
    </row>
    <row r="15" spans="1:8" ht="19.899999999999999" customHeight="1" x14ac:dyDescent="0.25">
      <c r="A15" s="706"/>
      <c r="B15" s="709"/>
      <c r="C15" s="510" t="s">
        <v>156</v>
      </c>
      <c r="D15" s="459" t="s">
        <v>14</v>
      </c>
      <c r="E15" s="459"/>
      <c r="F15" s="459">
        <v>1.4</v>
      </c>
      <c r="G15" s="494">
        <v>21350</v>
      </c>
      <c r="H15" s="494">
        <f t="shared" si="0"/>
        <v>29890</v>
      </c>
    </row>
    <row r="16" spans="1:8" ht="19.899999999999999" customHeight="1" x14ac:dyDescent="0.25">
      <c r="A16" s="706"/>
      <c r="B16" s="709"/>
      <c r="C16" s="510" t="s">
        <v>157</v>
      </c>
      <c r="D16" s="459" t="s">
        <v>14</v>
      </c>
      <c r="E16" s="459"/>
      <c r="F16" s="459">
        <v>1.9</v>
      </c>
      <c r="G16" s="494">
        <v>21350</v>
      </c>
      <c r="H16" s="494">
        <f t="shared" si="0"/>
        <v>40565</v>
      </c>
    </row>
    <row r="17" spans="1:8" ht="19.899999999999999" customHeight="1" x14ac:dyDescent="0.25">
      <c r="A17" s="706"/>
      <c r="B17" s="709"/>
      <c r="C17" s="510" t="s">
        <v>158</v>
      </c>
      <c r="D17" s="459" t="s">
        <v>14</v>
      </c>
      <c r="E17" s="459"/>
      <c r="F17" s="459">
        <v>2</v>
      </c>
      <c r="G17" s="494">
        <v>21350</v>
      </c>
      <c r="H17" s="494">
        <f t="shared" si="0"/>
        <v>42700</v>
      </c>
    </row>
    <row r="18" spans="1:8" ht="19.899999999999999" customHeight="1" x14ac:dyDescent="0.25">
      <c r="A18" s="706"/>
      <c r="B18" s="709"/>
      <c r="C18" s="510" t="s">
        <v>164</v>
      </c>
      <c r="D18" s="459" t="s">
        <v>14</v>
      </c>
      <c r="E18" s="459"/>
      <c r="F18" s="459">
        <v>2.4</v>
      </c>
      <c r="G18" s="494">
        <v>21350</v>
      </c>
      <c r="H18" s="494">
        <f t="shared" si="0"/>
        <v>51240</v>
      </c>
    </row>
    <row r="19" spans="1:8" ht="19.899999999999999" customHeight="1" x14ac:dyDescent="0.25">
      <c r="A19" s="706"/>
      <c r="B19" s="709"/>
      <c r="C19" s="510" t="s">
        <v>160</v>
      </c>
      <c r="D19" s="459" t="s">
        <v>14</v>
      </c>
      <c r="E19" s="459"/>
      <c r="F19" s="459">
        <v>3</v>
      </c>
      <c r="G19" s="494">
        <v>21350</v>
      </c>
      <c r="H19" s="494">
        <f t="shared" si="0"/>
        <v>64050</v>
      </c>
    </row>
    <row r="20" spans="1:8" ht="19.899999999999999" customHeight="1" x14ac:dyDescent="0.25">
      <c r="A20" s="706"/>
      <c r="B20" s="709"/>
      <c r="C20" s="510" t="s">
        <v>163</v>
      </c>
      <c r="D20" s="459" t="s">
        <v>14</v>
      </c>
      <c r="E20" s="459"/>
      <c r="F20" s="459">
        <v>3.3</v>
      </c>
      <c r="G20" s="494">
        <v>21350</v>
      </c>
      <c r="H20" s="494">
        <f t="shared" si="0"/>
        <v>70455</v>
      </c>
    </row>
    <row r="21" spans="1:8" ht="19.899999999999999" customHeight="1" x14ac:dyDescent="0.25">
      <c r="A21" s="706"/>
      <c r="B21" s="709"/>
      <c r="C21" s="510" t="s">
        <v>162</v>
      </c>
      <c r="D21" s="459" t="s">
        <v>14</v>
      </c>
      <c r="E21" s="459"/>
      <c r="F21" s="459">
        <v>3.9</v>
      </c>
      <c r="G21" s="494">
        <v>21350</v>
      </c>
      <c r="H21" s="494">
        <f t="shared" si="0"/>
        <v>83265</v>
      </c>
    </row>
    <row r="22" spans="1:8" ht="19.5" customHeight="1" x14ac:dyDescent="0.25">
      <c r="A22" s="706"/>
      <c r="B22" s="709"/>
      <c r="C22" s="511" t="s">
        <v>15</v>
      </c>
      <c r="D22" s="463"/>
      <c r="E22" s="459"/>
      <c r="F22" s="459"/>
      <c r="G22" s="464"/>
      <c r="H22" s="464"/>
    </row>
    <row r="23" spans="1:8" ht="75" customHeight="1" x14ac:dyDescent="0.25">
      <c r="A23" s="575"/>
      <c r="B23" s="578"/>
      <c r="C23" s="517" t="s">
        <v>255</v>
      </c>
      <c r="D23" s="446" t="s">
        <v>261</v>
      </c>
      <c r="E23" s="495"/>
      <c r="F23" s="459">
        <v>2</v>
      </c>
      <c r="G23" s="563">
        <v>200000</v>
      </c>
      <c r="H23" s="563">
        <f>F23*G23</f>
        <v>400000</v>
      </c>
    </row>
    <row r="24" spans="1:8" ht="33" x14ac:dyDescent="0.25">
      <c r="A24" s="576"/>
      <c r="B24" s="579"/>
      <c r="C24" s="518" t="s">
        <v>256</v>
      </c>
      <c r="D24" s="446" t="s">
        <v>261</v>
      </c>
      <c r="E24" s="497"/>
      <c r="F24" s="459">
        <v>2</v>
      </c>
      <c r="G24" s="564">
        <v>160000</v>
      </c>
      <c r="H24" s="564">
        <f>F24*G24</f>
        <v>320000</v>
      </c>
    </row>
    <row r="25" spans="1:8" ht="33" customHeight="1" x14ac:dyDescent="0.25">
      <c r="A25" s="705" t="s">
        <v>195</v>
      </c>
      <c r="B25" s="708" t="s">
        <v>40</v>
      </c>
      <c r="C25" s="513" t="s">
        <v>243</v>
      </c>
      <c r="D25" s="458" t="s">
        <v>44</v>
      </c>
      <c r="E25" s="458">
        <v>6</v>
      </c>
      <c r="F25" s="458"/>
      <c r="G25" s="493">
        <f>Luong!H11+Luong!H14</f>
        <v>569430</v>
      </c>
      <c r="H25" s="493">
        <f>ROUND(E25*G25,0)</f>
        <v>3416580</v>
      </c>
    </row>
    <row r="26" spans="1:8" ht="16.5" x14ac:dyDescent="0.25">
      <c r="A26" s="706"/>
      <c r="B26" s="709"/>
      <c r="C26" s="505" t="s">
        <v>18</v>
      </c>
      <c r="D26" s="459"/>
      <c r="E26" s="459"/>
      <c r="F26" s="459"/>
      <c r="G26" s="493"/>
      <c r="H26" s="493">
        <f>SUM(H27:H30)</f>
        <v>204500</v>
      </c>
    </row>
    <row r="27" spans="1:8" ht="16.5" x14ac:dyDescent="0.25">
      <c r="A27" s="706"/>
      <c r="B27" s="709"/>
      <c r="C27" s="508" t="s">
        <v>7</v>
      </c>
      <c r="D27" s="459" t="s">
        <v>20</v>
      </c>
      <c r="E27" s="459">
        <v>0.4</v>
      </c>
      <c r="F27" s="459"/>
      <c r="G27" s="499">
        <v>75000</v>
      </c>
      <c r="H27" s="494">
        <f>ROUND(E27*G27,0)</f>
        <v>30000</v>
      </c>
    </row>
    <row r="28" spans="1:8" ht="16.5" x14ac:dyDescent="0.25">
      <c r="A28" s="706"/>
      <c r="B28" s="709"/>
      <c r="C28" s="507" t="s">
        <v>8</v>
      </c>
      <c r="D28" s="461" t="s">
        <v>21</v>
      </c>
      <c r="E28" s="459">
        <v>0.2</v>
      </c>
      <c r="F28" s="459"/>
      <c r="G28" s="499">
        <v>850000</v>
      </c>
      <c r="H28" s="494">
        <f>ROUND(E28*G28,0)</f>
        <v>170000</v>
      </c>
    </row>
    <row r="29" spans="1:8" ht="16.5" x14ac:dyDescent="0.25">
      <c r="A29" s="706"/>
      <c r="B29" s="709"/>
      <c r="C29" s="508" t="s">
        <v>19</v>
      </c>
      <c r="D29" s="461" t="s">
        <v>21</v>
      </c>
      <c r="E29" s="459">
        <v>0.5</v>
      </c>
      <c r="F29" s="459"/>
      <c r="G29" s="499">
        <v>5000</v>
      </c>
      <c r="H29" s="494">
        <f>ROUND(E29*G29,0)</f>
        <v>2500</v>
      </c>
    </row>
    <row r="30" spans="1:8" ht="16.5" customHeight="1" x14ac:dyDescent="0.25">
      <c r="A30" s="707"/>
      <c r="B30" s="710"/>
      <c r="C30" s="514" t="s">
        <v>5</v>
      </c>
      <c r="D30" s="465" t="s">
        <v>22</v>
      </c>
      <c r="E30" s="466">
        <v>1</v>
      </c>
      <c r="F30" s="466"/>
      <c r="G30" s="500">
        <v>2000</v>
      </c>
      <c r="H30" s="501">
        <f>ROUND(E30*G30,0)</f>
        <v>2000</v>
      </c>
    </row>
    <row r="31" spans="1:8" ht="34.5" customHeight="1" x14ac:dyDescent="0.25">
      <c r="A31" s="705" t="s">
        <v>196</v>
      </c>
      <c r="B31" s="708" t="s">
        <v>41</v>
      </c>
      <c r="C31" s="504" t="s">
        <v>244</v>
      </c>
      <c r="D31" s="458" t="s">
        <v>44</v>
      </c>
      <c r="E31" s="458">
        <v>6</v>
      </c>
      <c r="F31" s="458"/>
      <c r="G31" s="493">
        <f>Luong!H11+Luong!H13+Luong!H14</f>
        <v>854145</v>
      </c>
      <c r="H31" s="493">
        <f>ROUND(E31*G31,0)</f>
        <v>5124870</v>
      </c>
    </row>
    <row r="32" spans="1:8" ht="16.5" x14ac:dyDescent="0.25">
      <c r="A32" s="706"/>
      <c r="B32" s="709"/>
      <c r="C32" s="505" t="s">
        <v>18</v>
      </c>
      <c r="D32" s="459"/>
      <c r="E32" s="459"/>
      <c r="F32" s="460"/>
      <c r="G32" s="493"/>
      <c r="H32" s="493">
        <f>SUM(H33:H36)</f>
        <v>549500</v>
      </c>
    </row>
    <row r="33" spans="1:8" ht="16.5" x14ac:dyDescent="0.25">
      <c r="A33" s="706"/>
      <c r="B33" s="709"/>
      <c r="C33" s="508" t="s">
        <v>7</v>
      </c>
      <c r="D33" s="459" t="s">
        <v>20</v>
      </c>
      <c r="E33" s="459">
        <v>1.5</v>
      </c>
      <c r="F33" s="460"/>
      <c r="G33" s="499">
        <v>75000</v>
      </c>
      <c r="H33" s="494">
        <f>ROUND(E33*G33,0)</f>
        <v>112500</v>
      </c>
    </row>
    <row r="34" spans="1:8" ht="16.5" x14ac:dyDescent="0.25">
      <c r="A34" s="706"/>
      <c r="B34" s="709"/>
      <c r="C34" s="507" t="s">
        <v>8</v>
      </c>
      <c r="D34" s="461" t="s">
        <v>21</v>
      </c>
      <c r="E34" s="459">
        <v>0.5</v>
      </c>
      <c r="F34" s="460"/>
      <c r="G34" s="499">
        <v>850000</v>
      </c>
      <c r="H34" s="494">
        <f>ROUND(E34*G34,0)</f>
        <v>425000</v>
      </c>
    </row>
    <row r="35" spans="1:8" ht="16.5" x14ac:dyDescent="0.25">
      <c r="A35" s="706"/>
      <c r="B35" s="709"/>
      <c r="C35" s="508" t="s">
        <v>19</v>
      </c>
      <c r="D35" s="461" t="s">
        <v>21</v>
      </c>
      <c r="E35" s="459">
        <v>2</v>
      </c>
      <c r="F35" s="460"/>
      <c r="G35" s="499">
        <v>5000</v>
      </c>
      <c r="H35" s="494">
        <f>ROUND(E35*G35,0)</f>
        <v>10000</v>
      </c>
    </row>
    <row r="36" spans="1:8" ht="16.5" x14ac:dyDescent="0.25">
      <c r="A36" s="707"/>
      <c r="B36" s="710"/>
      <c r="C36" s="514" t="s">
        <v>5</v>
      </c>
      <c r="D36" s="465" t="s">
        <v>22</v>
      </c>
      <c r="E36" s="466">
        <v>1</v>
      </c>
      <c r="F36" s="467"/>
      <c r="G36" s="500">
        <v>2000</v>
      </c>
      <c r="H36" s="501">
        <f>ROUND(E36*G36,0)</f>
        <v>2000</v>
      </c>
    </row>
    <row r="37" spans="1:8" ht="16.5" customHeight="1" x14ac:dyDescent="0.25">
      <c r="A37" s="711" t="s">
        <v>197</v>
      </c>
      <c r="B37" s="708" t="s">
        <v>42</v>
      </c>
      <c r="C37" s="504" t="s">
        <v>245</v>
      </c>
      <c r="D37" s="458" t="s">
        <v>44</v>
      </c>
      <c r="E37" s="458">
        <v>3</v>
      </c>
      <c r="F37" s="468"/>
      <c r="G37" s="493">
        <f>Luong!H11+Luong!H12+Luong!H13+Luong!H14</f>
        <v>1138860</v>
      </c>
      <c r="H37" s="493">
        <f>ROUND(E37*G37,0)</f>
        <v>3416580</v>
      </c>
    </row>
    <row r="38" spans="1:8" ht="16.5" x14ac:dyDescent="0.25">
      <c r="A38" s="712"/>
      <c r="B38" s="709"/>
      <c r="C38" s="505" t="s">
        <v>18</v>
      </c>
      <c r="D38" s="459"/>
      <c r="E38" s="459"/>
      <c r="F38" s="460"/>
      <c r="G38" s="493"/>
      <c r="H38" s="493">
        <f>SUM(H39:H40)</f>
        <v>292500</v>
      </c>
    </row>
    <row r="39" spans="1:8" ht="16.5" x14ac:dyDescent="0.25">
      <c r="A39" s="712"/>
      <c r="B39" s="709"/>
      <c r="C39" s="508" t="s">
        <v>7</v>
      </c>
      <c r="D39" s="459" t="s">
        <v>20</v>
      </c>
      <c r="E39" s="459">
        <v>0.5</v>
      </c>
      <c r="F39" s="460"/>
      <c r="G39" s="499">
        <v>75000</v>
      </c>
      <c r="H39" s="494">
        <f>ROUND(E39*G39,0)</f>
        <v>37500</v>
      </c>
    </row>
    <row r="40" spans="1:8" ht="16.5" x14ac:dyDescent="0.25">
      <c r="A40" s="713"/>
      <c r="B40" s="710"/>
      <c r="C40" s="514" t="s">
        <v>8</v>
      </c>
      <c r="D40" s="465" t="s">
        <v>21</v>
      </c>
      <c r="E40" s="466">
        <v>0.3</v>
      </c>
      <c r="F40" s="467"/>
      <c r="G40" s="500">
        <v>850000</v>
      </c>
      <c r="H40" s="501">
        <f>ROUND(E40*G40,0)</f>
        <v>255000</v>
      </c>
    </row>
    <row r="41" spans="1:8" ht="34.5" customHeight="1" x14ac:dyDescent="0.25">
      <c r="A41" s="711">
        <v>2</v>
      </c>
      <c r="B41" s="708" t="s">
        <v>43</v>
      </c>
      <c r="C41" s="504" t="s">
        <v>241</v>
      </c>
      <c r="D41" s="458" t="s">
        <v>44</v>
      </c>
      <c r="E41" s="458">
        <v>1</v>
      </c>
      <c r="F41" s="468"/>
      <c r="G41" s="493">
        <f>Luong!H13+Luong!H14</f>
        <v>597645</v>
      </c>
      <c r="H41" s="493">
        <f>ROUND(E41*G41,0)</f>
        <v>597645</v>
      </c>
    </row>
    <row r="42" spans="1:8" ht="16.5" customHeight="1" x14ac:dyDescent="0.25">
      <c r="A42" s="712"/>
      <c r="B42" s="709"/>
      <c r="C42" s="505" t="s">
        <v>18</v>
      </c>
      <c r="D42" s="459"/>
      <c r="E42" s="459"/>
      <c r="F42" s="460"/>
      <c r="G42" s="493"/>
      <c r="H42" s="493">
        <f>SUM(H43:H44)</f>
        <v>192500</v>
      </c>
    </row>
    <row r="43" spans="1:8" ht="16.5" x14ac:dyDescent="0.25">
      <c r="A43" s="712"/>
      <c r="B43" s="709"/>
      <c r="C43" s="508" t="s">
        <v>7</v>
      </c>
      <c r="D43" s="459" t="s">
        <v>20</v>
      </c>
      <c r="E43" s="459">
        <v>0.3</v>
      </c>
      <c r="F43" s="460"/>
      <c r="G43" s="499">
        <v>75000</v>
      </c>
      <c r="H43" s="494">
        <f>ROUND(E43*G43,0)</f>
        <v>22500</v>
      </c>
    </row>
    <row r="44" spans="1:8" ht="16.5" x14ac:dyDescent="0.25">
      <c r="A44" s="713"/>
      <c r="B44" s="710"/>
      <c r="C44" s="514" t="s">
        <v>8</v>
      </c>
      <c r="D44" s="465" t="s">
        <v>21</v>
      </c>
      <c r="E44" s="466">
        <v>0.2</v>
      </c>
      <c r="F44" s="467"/>
      <c r="G44" s="499">
        <v>850000</v>
      </c>
      <c r="H44" s="494">
        <f>ROUND(E44*G44,0)</f>
        <v>170000</v>
      </c>
    </row>
    <row r="45" spans="1:8" ht="33" customHeight="1" x14ac:dyDescent="0.25">
      <c r="A45" s="469" t="s">
        <v>144</v>
      </c>
      <c r="B45" s="470" t="s">
        <v>199</v>
      </c>
      <c r="C45" s="515"/>
      <c r="D45" s="471"/>
      <c r="E45" s="472"/>
      <c r="F45" s="473"/>
      <c r="G45" s="457"/>
      <c r="H45" s="457"/>
    </row>
    <row r="46" spans="1:8" ht="33" x14ac:dyDescent="0.25">
      <c r="A46" s="469">
        <v>1</v>
      </c>
      <c r="B46" s="519" t="s">
        <v>146</v>
      </c>
      <c r="C46" s="515"/>
      <c r="D46" s="471"/>
      <c r="E46" s="472"/>
      <c r="F46" s="473"/>
      <c r="G46" s="457"/>
      <c r="H46" s="457"/>
    </row>
    <row r="47" spans="1:8" ht="33" x14ac:dyDescent="0.25">
      <c r="A47" s="474" t="s">
        <v>194</v>
      </c>
      <c r="B47" s="475" t="s">
        <v>72</v>
      </c>
      <c r="C47" s="516"/>
      <c r="D47" s="457"/>
      <c r="E47" s="476"/>
      <c r="F47" s="457"/>
      <c r="G47" s="457"/>
      <c r="H47" s="457"/>
    </row>
    <row r="48" spans="1:8" ht="33" customHeight="1" x14ac:dyDescent="0.25">
      <c r="A48" s="714" t="s">
        <v>225</v>
      </c>
      <c r="B48" s="708" t="s">
        <v>214</v>
      </c>
      <c r="C48" s="504" t="s">
        <v>246</v>
      </c>
      <c r="D48" s="458" t="s">
        <v>44</v>
      </c>
      <c r="E48" s="482">
        <v>5</v>
      </c>
      <c r="F48" s="477"/>
      <c r="G48" s="492">
        <f>Luong!H11+Luong!H13</f>
        <v>541215</v>
      </c>
      <c r="H48" s="492">
        <f>ROUND(E48*G48,0)</f>
        <v>2706075</v>
      </c>
    </row>
    <row r="49" spans="1:8" ht="16.5" x14ac:dyDescent="0.25">
      <c r="A49" s="715"/>
      <c r="B49" s="709"/>
      <c r="C49" s="505" t="s">
        <v>18</v>
      </c>
      <c r="D49" s="459"/>
      <c r="E49" s="459"/>
      <c r="F49" s="464"/>
      <c r="G49" s="464"/>
      <c r="H49" s="478">
        <f>SUM(H50:H52)</f>
        <v>295000</v>
      </c>
    </row>
    <row r="50" spans="1:8" ht="33" customHeight="1" x14ac:dyDescent="0.25">
      <c r="A50" s="715"/>
      <c r="B50" s="709"/>
      <c r="C50" s="508" t="s">
        <v>7</v>
      </c>
      <c r="D50" s="459" t="s">
        <v>20</v>
      </c>
      <c r="E50" s="459">
        <v>0.5</v>
      </c>
      <c r="F50" s="464"/>
      <c r="G50" s="499">
        <v>75000</v>
      </c>
      <c r="H50" s="494">
        <f>ROUND(E50*G50,0)</f>
        <v>37500</v>
      </c>
    </row>
    <row r="51" spans="1:8" ht="16.5" x14ac:dyDescent="0.25">
      <c r="A51" s="715"/>
      <c r="B51" s="709"/>
      <c r="C51" s="507" t="s">
        <v>8</v>
      </c>
      <c r="D51" s="479" t="s">
        <v>21</v>
      </c>
      <c r="E51" s="459">
        <v>0.3</v>
      </c>
      <c r="F51" s="464"/>
      <c r="G51" s="499">
        <v>850000</v>
      </c>
      <c r="H51" s="494">
        <f>ROUND(E51*G51,0)</f>
        <v>255000</v>
      </c>
    </row>
    <row r="52" spans="1:8" ht="16.5" x14ac:dyDescent="0.25">
      <c r="A52" s="716"/>
      <c r="B52" s="710"/>
      <c r="C52" s="512" t="s">
        <v>19</v>
      </c>
      <c r="D52" s="480" t="s">
        <v>21</v>
      </c>
      <c r="E52" s="466">
        <v>0.5</v>
      </c>
      <c r="F52" s="481"/>
      <c r="G52" s="500">
        <v>5000</v>
      </c>
      <c r="H52" s="501">
        <f>ROUND(E52*G52,0)</f>
        <v>2500</v>
      </c>
    </row>
    <row r="53" spans="1:8" ht="33" customHeight="1" x14ac:dyDescent="0.25">
      <c r="A53" s="714" t="s">
        <v>226</v>
      </c>
      <c r="B53" s="708" t="s">
        <v>200</v>
      </c>
      <c r="C53" s="508" t="s">
        <v>241</v>
      </c>
      <c r="D53" s="459" t="s">
        <v>44</v>
      </c>
      <c r="E53" s="459">
        <v>1</v>
      </c>
      <c r="F53" s="460"/>
      <c r="G53" s="493">
        <f>Luong!H11+Luong!H14</f>
        <v>569430</v>
      </c>
      <c r="H53" s="493">
        <f>ROUND(E53*G53,0)</f>
        <v>569430</v>
      </c>
    </row>
    <row r="54" spans="1:8" ht="33" customHeight="1" x14ac:dyDescent="0.25">
      <c r="A54" s="715"/>
      <c r="B54" s="709"/>
      <c r="C54" s="505" t="s">
        <v>18</v>
      </c>
      <c r="D54" s="459"/>
      <c r="E54" s="459"/>
      <c r="F54" s="460"/>
      <c r="G54" s="493"/>
      <c r="H54" s="493">
        <f>SUM(H55:H56)</f>
        <v>192500</v>
      </c>
    </row>
    <row r="55" spans="1:8" ht="16.5" x14ac:dyDescent="0.25">
      <c r="A55" s="715"/>
      <c r="B55" s="709"/>
      <c r="C55" s="508" t="s">
        <v>7</v>
      </c>
      <c r="D55" s="459" t="s">
        <v>20</v>
      </c>
      <c r="E55" s="459">
        <v>0.3</v>
      </c>
      <c r="F55" s="460"/>
      <c r="G55" s="499">
        <v>75000</v>
      </c>
      <c r="H55" s="494">
        <f>ROUND(E55*G55,0)</f>
        <v>22500</v>
      </c>
    </row>
    <row r="56" spans="1:8" ht="21.75" customHeight="1" x14ac:dyDescent="0.25">
      <c r="A56" s="716"/>
      <c r="B56" s="710"/>
      <c r="C56" s="507" t="s">
        <v>8</v>
      </c>
      <c r="D56" s="461" t="s">
        <v>21</v>
      </c>
      <c r="E56" s="459">
        <v>0.2</v>
      </c>
      <c r="F56" s="460"/>
      <c r="G56" s="500">
        <v>850000</v>
      </c>
      <c r="H56" s="501">
        <f>ROUND(E56*G56,0)</f>
        <v>170000</v>
      </c>
    </row>
    <row r="57" spans="1:8" ht="33" customHeight="1" x14ac:dyDescent="0.25">
      <c r="A57" s="714" t="s">
        <v>195</v>
      </c>
      <c r="B57" s="708" t="s">
        <v>201</v>
      </c>
      <c r="C57" s="504" t="s">
        <v>247</v>
      </c>
      <c r="D57" s="482" t="s">
        <v>44</v>
      </c>
      <c r="E57" s="482">
        <v>2</v>
      </c>
      <c r="F57" s="477"/>
      <c r="G57" s="493">
        <f>Luong!H11+Luong!H14</f>
        <v>569430</v>
      </c>
      <c r="H57" s="493">
        <f>ROUND(E57*G57,0)</f>
        <v>1138860</v>
      </c>
    </row>
    <row r="58" spans="1:8" ht="33" customHeight="1" x14ac:dyDescent="0.25">
      <c r="A58" s="715"/>
      <c r="B58" s="709"/>
      <c r="C58" s="505" t="s">
        <v>18</v>
      </c>
      <c r="D58" s="459"/>
      <c r="E58" s="459"/>
      <c r="F58" s="464"/>
      <c r="G58" s="493"/>
      <c r="H58" s="493">
        <f>SUM(H59:H60)</f>
        <v>75500</v>
      </c>
    </row>
    <row r="59" spans="1:8" ht="16.5" x14ac:dyDescent="0.25">
      <c r="A59" s="715"/>
      <c r="B59" s="709"/>
      <c r="C59" s="508" t="s">
        <v>7</v>
      </c>
      <c r="D59" s="459" t="s">
        <v>20</v>
      </c>
      <c r="E59" s="459">
        <v>0.1</v>
      </c>
      <c r="F59" s="464"/>
      <c r="G59" s="499">
        <v>75000</v>
      </c>
      <c r="H59" s="494">
        <f>ROUND(E59*G59,0)</f>
        <v>7500</v>
      </c>
    </row>
    <row r="60" spans="1:8" ht="69.75" customHeight="1" x14ac:dyDescent="0.25">
      <c r="A60" s="716"/>
      <c r="B60" s="710"/>
      <c r="C60" s="514" t="s">
        <v>8</v>
      </c>
      <c r="D60" s="581" t="s">
        <v>21</v>
      </c>
      <c r="E60" s="576">
        <v>0.08</v>
      </c>
      <c r="F60" s="550"/>
      <c r="G60" s="551">
        <v>850000</v>
      </c>
      <c r="H60" s="552">
        <f>ROUND(E60*G60,0)</f>
        <v>68000</v>
      </c>
    </row>
    <row r="61" spans="1:8" ht="33" customHeight="1" x14ac:dyDescent="0.25">
      <c r="A61" s="714" t="s">
        <v>196</v>
      </c>
      <c r="B61" s="708" t="s">
        <v>248</v>
      </c>
      <c r="C61" s="504" t="s">
        <v>241</v>
      </c>
      <c r="D61" s="482" t="s">
        <v>44</v>
      </c>
      <c r="E61" s="482">
        <v>6</v>
      </c>
      <c r="F61" s="477"/>
      <c r="G61" s="492">
        <f>Luong!H11+Luong!H14</f>
        <v>569430</v>
      </c>
      <c r="H61" s="492">
        <f>ROUND(E61*G61,0)</f>
        <v>3416580</v>
      </c>
    </row>
    <row r="62" spans="1:8" ht="16.5" x14ac:dyDescent="0.25">
      <c r="A62" s="715"/>
      <c r="B62" s="709"/>
      <c r="C62" s="505" t="s">
        <v>18</v>
      </c>
      <c r="D62" s="459"/>
      <c r="E62" s="459"/>
      <c r="F62" s="464"/>
      <c r="G62" s="493"/>
      <c r="H62" s="493">
        <f>SUM(H63:H65)</f>
        <v>290000</v>
      </c>
    </row>
    <row r="63" spans="1:8" ht="16.5" x14ac:dyDescent="0.25">
      <c r="A63" s="715"/>
      <c r="B63" s="709"/>
      <c r="C63" s="508" t="s">
        <v>7</v>
      </c>
      <c r="D63" s="459" t="s">
        <v>20</v>
      </c>
      <c r="E63" s="459">
        <v>0.4</v>
      </c>
      <c r="F63" s="464"/>
      <c r="G63" s="499">
        <v>75000</v>
      </c>
      <c r="H63" s="494">
        <f>ROUND(E63*G63,0)</f>
        <v>30000</v>
      </c>
    </row>
    <row r="64" spans="1:8" ht="49.5" customHeight="1" x14ac:dyDescent="0.25">
      <c r="A64" s="715"/>
      <c r="B64" s="709"/>
      <c r="C64" s="507" t="s">
        <v>8</v>
      </c>
      <c r="D64" s="479" t="s">
        <v>21</v>
      </c>
      <c r="E64" s="459">
        <v>0.3</v>
      </c>
      <c r="F64" s="464"/>
      <c r="G64" s="499">
        <v>850000</v>
      </c>
      <c r="H64" s="494">
        <f>ROUND(E64*G64,0)</f>
        <v>255000</v>
      </c>
    </row>
    <row r="65" spans="1:8" ht="20.100000000000001" customHeight="1" x14ac:dyDescent="0.25">
      <c r="A65" s="716"/>
      <c r="B65" s="710"/>
      <c r="C65" s="512" t="s">
        <v>19</v>
      </c>
      <c r="D65" s="480" t="s">
        <v>21</v>
      </c>
      <c r="E65" s="466">
        <v>1</v>
      </c>
      <c r="F65" s="481"/>
      <c r="G65" s="500">
        <v>5000</v>
      </c>
      <c r="H65" s="501">
        <f>ROUND(E65*G65,0)</f>
        <v>5000</v>
      </c>
    </row>
    <row r="66" spans="1:8" ht="16.5" customHeight="1" x14ac:dyDescent="0.25">
      <c r="A66" s="474" t="s">
        <v>197</v>
      </c>
      <c r="B66" s="484" t="s">
        <v>49</v>
      </c>
      <c r="C66" s="516"/>
      <c r="D66" s="485"/>
      <c r="E66" s="486"/>
      <c r="F66" s="457"/>
      <c r="G66" s="457"/>
      <c r="H66" s="457"/>
    </row>
    <row r="67" spans="1:8" ht="49.5" customHeight="1" x14ac:dyDescent="0.25">
      <c r="A67" s="714" t="s">
        <v>227</v>
      </c>
      <c r="B67" s="708" t="s">
        <v>50</v>
      </c>
      <c r="C67" s="504" t="s">
        <v>244</v>
      </c>
      <c r="D67" s="482" t="s">
        <v>44</v>
      </c>
      <c r="E67" s="482">
        <v>6</v>
      </c>
      <c r="F67" s="477"/>
      <c r="G67" s="493">
        <f>Luong!H11+Luong!H14+Luong!H13</f>
        <v>854145</v>
      </c>
      <c r="H67" s="493">
        <f>ROUND(E67*G67,0)</f>
        <v>5124870</v>
      </c>
    </row>
    <row r="68" spans="1:8" ht="16.5" x14ac:dyDescent="0.25">
      <c r="A68" s="715"/>
      <c r="B68" s="709"/>
      <c r="C68" s="505" t="s">
        <v>18</v>
      </c>
      <c r="D68" s="459"/>
      <c r="E68" s="459"/>
      <c r="F68" s="464"/>
      <c r="G68" s="493"/>
      <c r="H68" s="493">
        <f>SUM(H69:H71)</f>
        <v>502500</v>
      </c>
    </row>
    <row r="69" spans="1:8" ht="16.5" customHeight="1" x14ac:dyDescent="0.25">
      <c r="A69" s="715"/>
      <c r="B69" s="709"/>
      <c r="C69" s="508" t="s">
        <v>7</v>
      </c>
      <c r="D69" s="459" t="s">
        <v>20</v>
      </c>
      <c r="E69" s="487">
        <v>1</v>
      </c>
      <c r="F69" s="464"/>
      <c r="G69" s="499">
        <v>75000</v>
      </c>
      <c r="H69" s="494">
        <f>ROUND(E69*G69,0)</f>
        <v>75000</v>
      </c>
    </row>
    <row r="70" spans="1:8" ht="16.5" x14ac:dyDescent="0.25">
      <c r="A70" s="715"/>
      <c r="B70" s="709"/>
      <c r="C70" s="507" t="s">
        <v>8</v>
      </c>
      <c r="D70" s="479" t="s">
        <v>21</v>
      </c>
      <c r="E70" s="459">
        <v>0.5</v>
      </c>
      <c r="F70" s="464"/>
      <c r="G70" s="499">
        <v>850000</v>
      </c>
      <c r="H70" s="494">
        <f>ROUND(E70*G70,0)</f>
        <v>425000</v>
      </c>
    </row>
    <row r="71" spans="1:8" ht="16.5" x14ac:dyDescent="0.25">
      <c r="A71" s="716"/>
      <c r="B71" s="710"/>
      <c r="C71" s="512" t="s">
        <v>19</v>
      </c>
      <c r="D71" s="480" t="s">
        <v>21</v>
      </c>
      <c r="E71" s="459">
        <v>0.5</v>
      </c>
      <c r="F71" s="481"/>
      <c r="G71" s="500">
        <v>5000</v>
      </c>
      <c r="H71" s="501">
        <f>ROUND(E71*G71,0)</f>
        <v>2500</v>
      </c>
    </row>
    <row r="72" spans="1:8" ht="49.5" x14ac:dyDescent="0.25">
      <c r="A72" s="714" t="s">
        <v>228</v>
      </c>
      <c r="B72" s="717" t="s">
        <v>51</v>
      </c>
      <c r="C72" s="504" t="s">
        <v>259</v>
      </c>
      <c r="D72" s="482" t="s">
        <v>44</v>
      </c>
      <c r="E72" s="482">
        <v>3</v>
      </c>
      <c r="F72" s="477"/>
      <c r="G72" s="493">
        <f>Luong!H11+2*Luong!H13+Luong!H12+Luong!H14</f>
        <v>1423575</v>
      </c>
      <c r="H72" s="493">
        <f>ROUND(E72*G72,0)</f>
        <v>4270725</v>
      </c>
    </row>
    <row r="73" spans="1:8" ht="16.5" customHeight="1" x14ac:dyDescent="0.25">
      <c r="A73" s="715"/>
      <c r="B73" s="718"/>
      <c r="C73" s="505" t="s">
        <v>18</v>
      </c>
      <c r="D73" s="459"/>
      <c r="E73" s="459"/>
      <c r="F73" s="464"/>
      <c r="G73" s="493"/>
      <c r="H73" s="493">
        <f>SUM(H74:H76)</f>
        <v>212500</v>
      </c>
    </row>
    <row r="74" spans="1:8" ht="16.5" x14ac:dyDescent="0.25">
      <c r="A74" s="715"/>
      <c r="B74" s="718"/>
      <c r="C74" s="508" t="s">
        <v>7</v>
      </c>
      <c r="D74" s="459" t="s">
        <v>20</v>
      </c>
      <c r="E74" s="459">
        <v>0.5</v>
      </c>
      <c r="F74" s="464"/>
      <c r="G74" s="499">
        <v>75000</v>
      </c>
      <c r="H74" s="494">
        <f>ROUND(E74*G74,0)</f>
        <v>37500</v>
      </c>
    </row>
    <row r="75" spans="1:8" ht="16.5" customHeight="1" x14ac:dyDescent="0.25">
      <c r="A75" s="715"/>
      <c r="B75" s="718"/>
      <c r="C75" s="507" t="s">
        <v>8</v>
      </c>
      <c r="D75" s="479" t="s">
        <v>21</v>
      </c>
      <c r="E75" s="459">
        <v>0.2</v>
      </c>
      <c r="F75" s="464"/>
      <c r="G75" s="499">
        <v>850000</v>
      </c>
      <c r="H75" s="494">
        <f>ROUND(E75*G75,0)</f>
        <v>170000</v>
      </c>
    </row>
    <row r="76" spans="1:8" ht="16.5" x14ac:dyDescent="0.25">
      <c r="A76" s="716"/>
      <c r="B76" s="719"/>
      <c r="C76" s="512" t="s">
        <v>19</v>
      </c>
      <c r="D76" s="480" t="s">
        <v>21</v>
      </c>
      <c r="E76" s="466">
        <v>1</v>
      </c>
      <c r="F76" s="481"/>
      <c r="G76" s="500">
        <v>5000</v>
      </c>
      <c r="H76" s="501">
        <f>ROUND(E76*G76,0)</f>
        <v>5000</v>
      </c>
    </row>
    <row r="77" spans="1:8" ht="30" customHeight="1" x14ac:dyDescent="0.25">
      <c r="A77" s="714" t="s">
        <v>229</v>
      </c>
      <c r="B77" s="708" t="s">
        <v>52</v>
      </c>
      <c r="C77" s="504" t="s">
        <v>249</v>
      </c>
      <c r="D77" s="482" t="s">
        <v>44</v>
      </c>
      <c r="E77" s="482">
        <v>1</v>
      </c>
      <c r="F77" s="477"/>
      <c r="G77" s="493">
        <f>Luong!H13+Luong!H14</f>
        <v>597645</v>
      </c>
      <c r="H77" s="493">
        <f>ROUND(E77*G77,0)</f>
        <v>597645</v>
      </c>
    </row>
    <row r="78" spans="1:8" ht="16.5" x14ac:dyDescent="0.25">
      <c r="A78" s="715"/>
      <c r="B78" s="709"/>
      <c r="C78" s="505" t="s">
        <v>18</v>
      </c>
      <c r="D78" s="459"/>
      <c r="E78" s="459"/>
      <c r="F78" s="464"/>
      <c r="G78" s="493"/>
      <c r="H78" s="493">
        <f>SUM(H79:H80)</f>
        <v>100000</v>
      </c>
    </row>
    <row r="79" spans="1:8" ht="16.5" customHeight="1" x14ac:dyDescent="0.25">
      <c r="A79" s="715"/>
      <c r="B79" s="709"/>
      <c r="C79" s="508" t="s">
        <v>7</v>
      </c>
      <c r="D79" s="459" t="s">
        <v>20</v>
      </c>
      <c r="E79" s="459">
        <v>0.2</v>
      </c>
      <c r="F79" s="464"/>
      <c r="G79" s="499">
        <v>75000</v>
      </c>
      <c r="H79" s="494">
        <f>ROUND(E79*G79,0)</f>
        <v>15000</v>
      </c>
    </row>
    <row r="80" spans="1:8" ht="16.5" x14ac:dyDescent="0.25">
      <c r="A80" s="716"/>
      <c r="B80" s="710"/>
      <c r="C80" s="514" t="s">
        <v>8</v>
      </c>
      <c r="D80" s="480" t="s">
        <v>21</v>
      </c>
      <c r="E80" s="466">
        <v>0.1</v>
      </c>
      <c r="F80" s="481"/>
      <c r="G80" s="500">
        <v>850000</v>
      </c>
      <c r="H80" s="501">
        <f>ROUND(E80*G80,0)</f>
        <v>85000</v>
      </c>
    </row>
    <row r="81" spans="1:8" ht="49.5" x14ac:dyDescent="0.25">
      <c r="A81" s="714" t="s">
        <v>230</v>
      </c>
      <c r="B81" s="708" t="s">
        <v>53</v>
      </c>
      <c r="C81" s="504" t="s">
        <v>250</v>
      </c>
      <c r="D81" s="482" t="s">
        <v>44</v>
      </c>
      <c r="E81" s="482">
        <v>2</v>
      </c>
      <c r="F81" s="477"/>
      <c r="G81" s="492">
        <f>Luong!H12+Luong!H13+Luong!H14</f>
        <v>882360</v>
      </c>
      <c r="H81" s="492">
        <f>ROUND(E81*G81,0)</f>
        <v>1764720</v>
      </c>
    </row>
    <row r="82" spans="1:8" ht="16.5" x14ac:dyDescent="0.25">
      <c r="A82" s="715"/>
      <c r="B82" s="709"/>
      <c r="C82" s="505" t="s">
        <v>18</v>
      </c>
      <c r="D82" s="459"/>
      <c r="E82" s="459"/>
      <c r="F82" s="464"/>
      <c r="G82" s="493"/>
      <c r="H82" s="493">
        <f>SUM(H83:H85)</f>
        <v>295000</v>
      </c>
    </row>
    <row r="83" spans="1:8" ht="16.5" x14ac:dyDescent="0.25">
      <c r="A83" s="715"/>
      <c r="B83" s="709"/>
      <c r="C83" s="508" t="s">
        <v>7</v>
      </c>
      <c r="D83" s="459" t="s">
        <v>20</v>
      </c>
      <c r="E83" s="459">
        <v>0.5</v>
      </c>
      <c r="F83" s="464"/>
      <c r="G83" s="499">
        <v>75000</v>
      </c>
      <c r="H83" s="494">
        <f>ROUND(E83*G83,0)</f>
        <v>37500</v>
      </c>
    </row>
    <row r="84" spans="1:8" ht="16.5" x14ac:dyDescent="0.25">
      <c r="A84" s="715"/>
      <c r="B84" s="709"/>
      <c r="C84" s="507" t="s">
        <v>8</v>
      </c>
      <c r="D84" s="479" t="s">
        <v>21</v>
      </c>
      <c r="E84" s="459">
        <v>0.3</v>
      </c>
      <c r="F84" s="464"/>
      <c r="G84" s="499">
        <v>850000</v>
      </c>
      <c r="H84" s="494">
        <f>ROUND(E84*G84,0)</f>
        <v>255000</v>
      </c>
    </row>
    <row r="85" spans="1:8" ht="49.5" customHeight="1" x14ac:dyDescent="0.25">
      <c r="A85" s="716"/>
      <c r="B85" s="710"/>
      <c r="C85" s="512" t="s">
        <v>19</v>
      </c>
      <c r="D85" s="480" t="s">
        <v>21</v>
      </c>
      <c r="E85" s="466">
        <v>0.5</v>
      </c>
      <c r="F85" s="481"/>
      <c r="G85" s="500">
        <v>5000</v>
      </c>
      <c r="H85" s="501">
        <f>ROUND(E85*G85,0)</f>
        <v>2500</v>
      </c>
    </row>
    <row r="86" spans="1:8" ht="239.25" customHeight="1" x14ac:dyDescent="0.25">
      <c r="A86" s="474" t="s">
        <v>198</v>
      </c>
      <c r="B86" s="484" t="s">
        <v>54</v>
      </c>
      <c r="C86" s="516"/>
      <c r="D86" s="485"/>
      <c r="E86" s="486"/>
      <c r="F86" s="457"/>
      <c r="G86" s="457"/>
      <c r="H86" s="457"/>
    </row>
    <row r="87" spans="1:8" ht="49.5" customHeight="1" x14ac:dyDescent="0.25">
      <c r="A87" s="714" t="s">
        <v>231</v>
      </c>
      <c r="B87" s="708" t="s">
        <v>202</v>
      </c>
      <c r="C87" s="504" t="s">
        <v>244</v>
      </c>
      <c r="D87" s="482" t="s">
        <v>44</v>
      </c>
      <c r="E87" s="482">
        <v>4</v>
      </c>
      <c r="F87" s="477"/>
      <c r="G87" s="493">
        <f>Luong!H11+Luong!H13+Luong!H14</f>
        <v>854145</v>
      </c>
      <c r="H87" s="493">
        <f>ROUND(E87*G87,0)</f>
        <v>3416580</v>
      </c>
    </row>
    <row r="88" spans="1:8" ht="16.5" x14ac:dyDescent="0.25">
      <c r="A88" s="715"/>
      <c r="B88" s="709"/>
      <c r="C88" s="505" t="s">
        <v>18</v>
      </c>
      <c r="D88" s="459"/>
      <c r="E88" s="459"/>
      <c r="F88" s="464"/>
      <c r="G88" s="493"/>
      <c r="H88" s="493">
        <f>SUM(H89:H91)</f>
        <v>195000</v>
      </c>
    </row>
    <row r="89" spans="1:8" ht="16.5" x14ac:dyDescent="0.25">
      <c r="A89" s="715"/>
      <c r="B89" s="709"/>
      <c r="C89" s="508" t="s">
        <v>7</v>
      </c>
      <c r="D89" s="459" t="s">
        <v>20</v>
      </c>
      <c r="E89" s="459">
        <v>0.3</v>
      </c>
      <c r="F89" s="464"/>
      <c r="G89" s="499">
        <v>75000</v>
      </c>
      <c r="H89" s="494">
        <f>ROUND(E89*G89,0)</f>
        <v>22500</v>
      </c>
    </row>
    <row r="90" spans="1:8" ht="16.5" customHeight="1" x14ac:dyDescent="0.25">
      <c r="A90" s="715"/>
      <c r="B90" s="709"/>
      <c r="C90" s="507" t="s">
        <v>8</v>
      </c>
      <c r="D90" s="479" t="s">
        <v>21</v>
      </c>
      <c r="E90" s="459">
        <v>0.2</v>
      </c>
      <c r="F90" s="464"/>
      <c r="G90" s="499">
        <v>850000</v>
      </c>
      <c r="H90" s="494">
        <f>ROUND(E90*G90,0)</f>
        <v>170000</v>
      </c>
    </row>
    <row r="91" spans="1:8" ht="36" customHeight="1" x14ac:dyDescent="0.25">
      <c r="A91" s="716"/>
      <c r="B91" s="710"/>
      <c r="C91" s="508" t="s">
        <v>19</v>
      </c>
      <c r="D91" s="580" t="s">
        <v>21</v>
      </c>
      <c r="E91" s="575">
        <v>0.5</v>
      </c>
      <c r="F91" s="550"/>
      <c r="G91" s="551">
        <v>5000</v>
      </c>
      <c r="H91" s="552">
        <f>ROUND(E91*G91,0)</f>
        <v>2500</v>
      </c>
    </row>
    <row r="92" spans="1:8" ht="49.5" x14ac:dyDescent="0.25">
      <c r="A92" s="714" t="s">
        <v>232</v>
      </c>
      <c r="B92" s="717" t="s">
        <v>67</v>
      </c>
      <c r="C92" s="504" t="s">
        <v>245</v>
      </c>
      <c r="D92" s="482" t="s">
        <v>44</v>
      </c>
      <c r="E92" s="482">
        <v>4</v>
      </c>
      <c r="F92" s="477"/>
      <c r="G92" s="493">
        <f>Luong!H11+Luong!H12+Luong!H13+Luong!H14</f>
        <v>1138860</v>
      </c>
      <c r="H92" s="493">
        <f>ROUND(E92*G92,0)</f>
        <v>4555440</v>
      </c>
    </row>
    <row r="93" spans="1:8" ht="16.5" x14ac:dyDescent="0.25">
      <c r="A93" s="715"/>
      <c r="B93" s="718"/>
      <c r="C93" s="505" t="s">
        <v>18</v>
      </c>
      <c r="D93" s="459"/>
      <c r="E93" s="459"/>
      <c r="F93" s="464"/>
      <c r="G93" s="493"/>
      <c r="H93" s="493">
        <f>SUM(H94:H96)</f>
        <v>202500</v>
      </c>
    </row>
    <row r="94" spans="1:8" ht="16.5" x14ac:dyDescent="0.25">
      <c r="A94" s="715"/>
      <c r="B94" s="718"/>
      <c r="C94" s="508" t="s">
        <v>7</v>
      </c>
      <c r="D94" s="459" t="s">
        <v>20</v>
      </c>
      <c r="E94" s="459">
        <v>0.4</v>
      </c>
      <c r="F94" s="464"/>
      <c r="G94" s="499">
        <v>75000</v>
      </c>
      <c r="H94" s="494">
        <f>ROUND(E94*G94,0)</f>
        <v>30000</v>
      </c>
    </row>
    <row r="95" spans="1:8" ht="16.5" x14ac:dyDescent="0.25">
      <c r="A95" s="715"/>
      <c r="B95" s="718"/>
      <c r="C95" s="507" t="s">
        <v>8</v>
      </c>
      <c r="D95" s="479" t="s">
        <v>21</v>
      </c>
      <c r="E95" s="459">
        <v>0.2</v>
      </c>
      <c r="F95" s="464"/>
      <c r="G95" s="499">
        <v>850000</v>
      </c>
      <c r="H95" s="494">
        <f>ROUND(E95*G95,0)</f>
        <v>170000</v>
      </c>
    </row>
    <row r="96" spans="1:8" ht="16.5" customHeight="1" x14ac:dyDescent="0.25">
      <c r="A96" s="716"/>
      <c r="B96" s="719"/>
      <c r="C96" s="508" t="s">
        <v>19</v>
      </c>
      <c r="D96" s="479" t="s">
        <v>21</v>
      </c>
      <c r="E96" s="459">
        <v>0.5</v>
      </c>
      <c r="F96" s="464"/>
      <c r="G96" s="499">
        <v>5000</v>
      </c>
      <c r="H96" s="494">
        <f>ROUND(E96*G96,0)</f>
        <v>2500</v>
      </c>
    </row>
    <row r="97" spans="1:8" ht="49.5" x14ac:dyDescent="0.25">
      <c r="A97" s="714" t="s">
        <v>234</v>
      </c>
      <c r="B97" s="717" t="s">
        <v>133</v>
      </c>
      <c r="C97" s="504" t="s">
        <v>244</v>
      </c>
      <c r="D97" s="482" t="s">
        <v>44</v>
      </c>
      <c r="E97" s="482"/>
      <c r="F97" s="458">
        <v>1</v>
      </c>
      <c r="G97" s="492">
        <f>Luong!H11+Luong!H13+Luong!H14</f>
        <v>854145</v>
      </c>
      <c r="H97" s="492">
        <f>ROUND(F97*G97,0)</f>
        <v>854145</v>
      </c>
    </row>
    <row r="98" spans="1:8" ht="33" customHeight="1" x14ac:dyDescent="0.25">
      <c r="A98" s="715"/>
      <c r="B98" s="718"/>
      <c r="C98" s="508" t="s">
        <v>242</v>
      </c>
      <c r="D98" s="459"/>
      <c r="E98" s="462"/>
      <c r="F98" s="464"/>
      <c r="G98" s="464"/>
      <c r="H98" s="464"/>
    </row>
    <row r="99" spans="1:8" ht="37.5" x14ac:dyDescent="0.25">
      <c r="A99" s="715"/>
      <c r="B99" s="718"/>
      <c r="C99" s="509" t="s">
        <v>154</v>
      </c>
      <c r="D99" s="459" t="s">
        <v>14</v>
      </c>
      <c r="E99" s="459"/>
      <c r="F99" s="459">
        <v>0</v>
      </c>
      <c r="G99" s="494"/>
      <c r="H99" s="494">
        <f>ROUND(F99*G99,0)</f>
        <v>0</v>
      </c>
    </row>
    <row r="100" spans="1:8" ht="37.5" x14ac:dyDescent="0.25">
      <c r="A100" s="715"/>
      <c r="B100" s="718"/>
      <c r="C100" s="510" t="s">
        <v>155</v>
      </c>
      <c r="D100" s="459" t="s">
        <v>14</v>
      </c>
      <c r="E100" s="459"/>
      <c r="F100" s="459">
        <v>1</v>
      </c>
      <c r="G100" s="494">
        <v>21350</v>
      </c>
      <c r="H100" s="494">
        <f t="shared" ref="H100:H107" si="1">ROUND(F100*G100,0)</f>
        <v>21350</v>
      </c>
    </row>
    <row r="101" spans="1:8" ht="37.5" x14ac:dyDescent="0.25">
      <c r="A101" s="715"/>
      <c r="B101" s="718"/>
      <c r="C101" s="510" t="s">
        <v>156</v>
      </c>
      <c r="D101" s="459" t="s">
        <v>14</v>
      </c>
      <c r="E101" s="459"/>
      <c r="F101" s="459">
        <v>1.4</v>
      </c>
      <c r="G101" s="494">
        <v>21350</v>
      </c>
      <c r="H101" s="494">
        <f t="shared" si="1"/>
        <v>29890</v>
      </c>
    </row>
    <row r="102" spans="1:8" ht="16.5" customHeight="1" x14ac:dyDescent="0.25">
      <c r="A102" s="715"/>
      <c r="B102" s="718"/>
      <c r="C102" s="510" t="s">
        <v>157</v>
      </c>
      <c r="D102" s="459" t="s">
        <v>14</v>
      </c>
      <c r="E102" s="459"/>
      <c r="F102" s="459">
        <v>1.9</v>
      </c>
      <c r="G102" s="494">
        <v>21350</v>
      </c>
      <c r="H102" s="494">
        <f t="shared" si="1"/>
        <v>40565</v>
      </c>
    </row>
    <row r="103" spans="1:8" ht="37.5" x14ac:dyDescent="0.25">
      <c r="A103" s="715"/>
      <c r="B103" s="718"/>
      <c r="C103" s="510" t="s">
        <v>158</v>
      </c>
      <c r="D103" s="459" t="s">
        <v>14</v>
      </c>
      <c r="E103" s="459"/>
      <c r="F103" s="459">
        <v>2</v>
      </c>
      <c r="G103" s="494">
        <v>21350</v>
      </c>
      <c r="H103" s="494">
        <f t="shared" si="1"/>
        <v>42700</v>
      </c>
    </row>
    <row r="104" spans="1:8" ht="18.75" x14ac:dyDescent="0.25">
      <c r="A104" s="715"/>
      <c r="B104" s="718"/>
      <c r="C104" s="510" t="s">
        <v>164</v>
      </c>
      <c r="D104" s="459" t="s">
        <v>14</v>
      </c>
      <c r="E104" s="459"/>
      <c r="F104" s="459">
        <v>2.4</v>
      </c>
      <c r="G104" s="494">
        <v>21350</v>
      </c>
      <c r="H104" s="494">
        <f t="shared" si="1"/>
        <v>51240</v>
      </c>
    </row>
    <row r="105" spans="1:8" ht="18.75" x14ac:dyDescent="0.25">
      <c r="A105" s="715"/>
      <c r="B105" s="718"/>
      <c r="C105" s="510" t="s">
        <v>160</v>
      </c>
      <c r="D105" s="459" t="s">
        <v>14</v>
      </c>
      <c r="E105" s="459"/>
      <c r="F105" s="459">
        <v>3</v>
      </c>
      <c r="G105" s="494">
        <v>21350</v>
      </c>
      <c r="H105" s="494">
        <f t="shared" si="1"/>
        <v>64050</v>
      </c>
    </row>
    <row r="106" spans="1:8" ht="33" customHeight="1" x14ac:dyDescent="0.25">
      <c r="A106" s="715"/>
      <c r="B106" s="718"/>
      <c r="C106" s="510" t="s">
        <v>163</v>
      </c>
      <c r="D106" s="459" t="s">
        <v>14</v>
      </c>
      <c r="E106" s="459"/>
      <c r="F106" s="459">
        <v>3.3</v>
      </c>
      <c r="G106" s="494">
        <v>21350</v>
      </c>
      <c r="H106" s="494">
        <f t="shared" si="1"/>
        <v>70455</v>
      </c>
    </row>
    <row r="107" spans="1:8" ht="21.75" customHeight="1" x14ac:dyDescent="0.25">
      <c r="A107" s="715"/>
      <c r="B107" s="718"/>
      <c r="C107" s="510" t="s">
        <v>162</v>
      </c>
      <c r="D107" s="459" t="s">
        <v>14</v>
      </c>
      <c r="E107" s="459"/>
      <c r="F107" s="459">
        <v>3.9</v>
      </c>
      <c r="G107" s="494">
        <v>21350</v>
      </c>
      <c r="H107" s="494">
        <f t="shared" si="1"/>
        <v>83265</v>
      </c>
    </row>
    <row r="108" spans="1:8" ht="20.25" customHeight="1" x14ac:dyDescent="0.25">
      <c r="A108" s="715"/>
      <c r="B108" s="718"/>
      <c r="C108" s="511" t="s">
        <v>15</v>
      </c>
      <c r="D108" s="463"/>
      <c r="E108" s="459"/>
      <c r="F108" s="459"/>
      <c r="G108" s="464"/>
      <c r="H108" s="464"/>
    </row>
    <row r="109" spans="1:8" ht="81" customHeight="1" x14ac:dyDescent="0.25">
      <c r="A109" s="715"/>
      <c r="B109" s="718"/>
      <c r="C109" s="517" t="s">
        <v>255</v>
      </c>
      <c r="D109" s="446" t="s">
        <v>265</v>
      </c>
      <c r="E109" s="495"/>
      <c r="F109" s="459">
        <v>1</v>
      </c>
      <c r="G109" s="563">
        <v>300000</v>
      </c>
      <c r="H109" s="563">
        <f>F109*G109</f>
        <v>300000</v>
      </c>
    </row>
    <row r="110" spans="1:8" ht="49.5" customHeight="1" x14ac:dyDescent="0.25">
      <c r="A110" s="716"/>
      <c r="B110" s="719"/>
      <c r="C110" s="518" t="s">
        <v>256</v>
      </c>
      <c r="D110" s="446" t="s">
        <v>265</v>
      </c>
      <c r="E110" s="497"/>
      <c r="F110" s="466">
        <v>1</v>
      </c>
      <c r="G110" s="564">
        <v>240000</v>
      </c>
      <c r="H110" s="564">
        <f>F110*G110</f>
        <v>240000</v>
      </c>
    </row>
    <row r="111" spans="1:8" ht="33" x14ac:dyDescent="0.25">
      <c r="A111" s="714" t="s">
        <v>235</v>
      </c>
      <c r="B111" s="708" t="s">
        <v>130</v>
      </c>
      <c r="C111" s="504" t="s">
        <v>252</v>
      </c>
      <c r="D111" s="482" t="s">
        <v>44</v>
      </c>
      <c r="E111" s="482">
        <v>3</v>
      </c>
      <c r="F111" s="464"/>
      <c r="G111" s="492">
        <f>Luong!H12+Luong!H13</f>
        <v>569430</v>
      </c>
      <c r="H111" s="492">
        <f>ROUND(E111*G111,0)</f>
        <v>1708290</v>
      </c>
    </row>
    <row r="112" spans="1:8" ht="16.5" x14ac:dyDescent="0.25">
      <c r="A112" s="715"/>
      <c r="B112" s="709"/>
      <c r="C112" s="505" t="s">
        <v>18</v>
      </c>
      <c r="D112" s="459"/>
      <c r="E112" s="459"/>
      <c r="F112" s="464"/>
      <c r="G112" s="493"/>
      <c r="H112" s="493">
        <f>SUM(H113:H114)</f>
        <v>192500</v>
      </c>
    </row>
    <row r="113" spans="1:8" ht="16.5" x14ac:dyDescent="0.25">
      <c r="A113" s="715"/>
      <c r="B113" s="709"/>
      <c r="C113" s="508" t="s">
        <v>7</v>
      </c>
      <c r="D113" s="459" t="s">
        <v>20</v>
      </c>
      <c r="E113" s="459">
        <v>0.3</v>
      </c>
      <c r="F113" s="464"/>
      <c r="G113" s="499">
        <v>75000</v>
      </c>
      <c r="H113" s="494">
        <f>ROUND(E113*G113,0)</f>
        <v>22500</v>
      </c>
    </row>
    <row r="114" spans="1:8" ht="33" customHeight="1" x14ac:dyDescent="0.25">
      <c r="A114" s="716"/>
      <c r="B114" s="710"/>
      <c r="C114" s="507" t="s">
        <v>8</v>
      </c>
      <c r="D114" s="479" t="s">
        <v>21</v>
      </c>
      <c r="E114" s="459">
        <v>0.2</v>
      </c>
      <c r="F114" s="464"/>
      <c r="G114" s="499">
        <v>850000</v>
      </c>
      <c r="H114" s="494">
        <f>ROUND(E114*G114,0)</f>
        <v>170000</v>
      </c>
    </row>
    <row r="115" spans="1:8" ht="49.5" customHeight="1" x14ac:dyDescent="0.25">
      <c r="A115" s="714" t="s">
        <v>204</v>
      </c>
      <c r="B115" s="708" t="s">
        <v>73</v>
      </c>
      <c r="C115" s="504" t="s">
        <v>244</v>
      </c>
      <c r="D115" s="482" t="s">
        <v>44</v>
      </c>
      <c r="E115" s="482">
        <v>2</v>
      </c>
      <c r="F115" s="477"/>
      <c r="G115" s="492">
        <f>Luong!H11+Luong!H13+Luong!H14</f>
        <v>854145</v>
      </c>
      <c r="H115" s="492">
        <f>ROUND(E115*G115,0)</f>
        <v>1708290</v>
      </c>
    </row>
    <row r="116" spans="1:8" ht="16.5" x14ac:dyDescent="0.25">
      <c r="A116" s="715"/>
      <c r="B116" s="709"/>
      <c r="C116" s="505" t="s">
        <v>18</v>
      </c>
      <c r="D116" s="459"/>
      <c r="E116" s="459"/>
      <c r="F116" s="464"/>
      <c r="G116" s="493"/>
      <c r="H116" s="493">
        <f>SUM(H117:H118)</f>
        <v>200000</v>
      </c>
    </row>
    <row r="117" spans="1:8" ht="16.5" x14ac:dyDescent="0.25">
      <c r="A117" s="715"/>
      <c r="B117" s="709"/>
      <c r="C117" s="508" t="s">
        <v>7</v>
      </c>
      <c r="D117" s="459" t="s">
        <v>20</v>
      </c>
      <c r="E117" s="459">
        <v>0.4</v>
      </c>
      <c r="F117" s="464"/>
      <c r="G117" s="499">
        <v>75000</v>
      </c>
      <c r="H117" s="494">
        <f>ROUND(E117*G117,0)</f>
        <v>30000</v>
      </c>
    </row>
    <row r="118" spans="1:8" ht="16.5" x14ac:dyDescent="0.25">
      <c r="A118" s="716"/>
      <c r="B118" s="710"/>
      <c r="C118" s="514" t="s">
        <v>8</v>
      </c>
      <c r="D118" s="480" t="s">
        <v>21</v>
      </c>
      <c r="E118" s="466">
        <v>0.2</v>
      </c>
      <c r="F118" s="464"/>
      <c r="G118" s="499">
        <v>850000</v>
      </c>
      <c r="H118" s="494">
        <f>ROUND(E118*G118,0)</f>
        <v>170000</v>
      </c>
    </row>
    <row r="119" spans="1:8" ht="33" customHeight="1" x14ac:dyDescent="0.25">
      <c r="A119" s="714" t="s">
        <v>205</v>
      </c>
      <c r="B119" s="708" t="s">
        <v>74</v>
      </c>
      <c r="C119" s="504" t="s">
        <v>249</v>
      </c>
      <c r="D119" s="482" t="s">
        <v>44</v>
      </c>
      <c r="E119" s="482">
        <v>3</v>
      </c>
      <c r="F119" s="477"/>
      <c r="G119" s="492">
        <f>Luong!H13+Luong!H14</f>
        <v>597645</v>
      </c>
      <c r="H119" s="492">
        <f>ROUND(E119*G119,0)</f>
        <v>1792935</v>
      </c>
    </row>
    <row r="120" spans="1:8" ht="33" customHeight="1" x14ac:dyDescent="0.25">
      <c r="A120" s="715"/>
      <c r="B120" s="709"/>
      <c r="C120" s="505" t="s">
        <v>18</v>
      </c>
      <c r="D120" s="459"/>
      <c r="E120" s="459"/>
      <c r="F120" s="464"/>
      <c r="G120" s="493"/>
      <c r="H120" s="493">
        <f>SUM(H121:H122)</f>
        <v>192500</v>
      </c>
    </row>
    <row r="121" spans="1:8" ht="16.5" x14ac:dyDescent="0.25">
      <c r="A121" s="715"/>
      <c r="B121" s="709"/>
      <c r="C121" s="508" t="s">
        <v>7</v>
      </c>
      <c r="D121" s="459" t="s">
        <v>20</v>
      </c>
      <c r="E121" s="459">
        <v>0.3</v>
      </c>
      <c r="F121" s="464"/>
      <c r="G121" s="499">
        <v>75000</v>
      </c>
      <c r="H121" s="494">
        <f>ROUND(E121*G121,0)</f>
        <v>22500</v>
      </c>
    </row>
    <row r="122" spans="1:8" ht="16.5" x14ac:dyDescent="0.25">
      <c r="A122" s="716"/>
      <c r="B122" s="710"/>
      <c r="C122" s="514" t="s">
        <v>8</v>
      </c>
      <c r="D122" s="480" t="s">
        <v>21</v>
      </c>
      <c r="E122" s="466">
        <v>0.2</v>
      </c>
      <c r="F122" s="481"/>
      <c r="G122" s="499">
        <v>850000</v>
      </c>
      <c r="H122" s="494">
        <f>ROUND(E122*G122,0)</f>
        <v>170000</v>
      </c>
    </row>
    <row r="123" spans="1:8" ht="49.5" x14ac:dyDescent="0.25">
      <c r="A123" s="714" t="s">
        <v>206</v>
      </c>
      <c r="B123" s="708" t="s">
        <v>55</v>
      </c>
      <c r="C123" s="504" t="s">
        <v>250</v>
      </c>
      <c r="D123" s="482" t="s">
        <v>44</v>
      </c>
      <c r="E123" s="482">
        <v>1</v>
      </c>
      <c r="F123" s="477"/>
      <c r="G123" s="492">
        <f>Luong!H12+Luong!H13+Luong!H14</f>
        <v>882360</v>
      </c>
      <c r="H123" s="492">
        <f>ROUND(E123*G123,0)</f>
        <v>882360</v>
      </c>
    </row>
    <row r="124" spans="1:8" ht="16.5" x14ac:dyDescent="0.25">
      <c r="A124" s="715"/>
      <c r="B124" s="709"/>
      <c r="C124" s="505" t="s">
        <v>18</v>
      </c>
      <c r="D124" s="459"/>
      <c r="E124" s="459"/>
      <c r="F124" s="464"/>
      <c r="G124" s="493"/>
      <c r="H124" s="493">
        <f>SUM(H125:H126)</f>
        <v>83000</v>
      </c>
    </row>
    <row r="125" spans="1:8" ht="33" customHeight="1" x14ac:dyDescent="0.25">
      <c r="A125" s="715"/>
      <c r="B125" s="709"/>
      <c r="C125" s="508" t="s">
        <v>7</v>
      </c>
      <c r="D125" s="459" t="s">
        <v>20</v>
      </c>
      <c r="E125" s="459">
        <v>0.2</v>
      </c>
      <c r="F125" s="464"/>
      <c r="G125" s="499">
        <v>75000</v>
      </c>
      <c r="H125" s="494">
        <f>ROUND(E125*G125,0)</f>
        <v>15000</v>
      </c>
    </row>
    <row r="126" spans="1:8" ht="16.5" x14ac:dyDescent="0.25">
      <c r="A126" s="716"/>
      <c r="B126" s="710"/>
      <c r="C126" s="514" t="s">
        <v>8</v>
      </c>
      <c r="D126" s="480" t="s">
        <v>21</v>
      </c>
      <c r="E126" s="466">
        <v>0.08</v>
      </c>
      <c r="F126" s="464"/>
      <c r="G126" s="499">
        <v>850000</v>
      </c>
      <c r="H126" s="494">
        <f>ROUND(E126*G126,0)</f>
        <v>68000</v>
      </c>
    </row>
    <row r="127" spans="1:8" ht="33" x14ac:dyDescent="0.25">
      <c r="A127" s="474" t="s">
        <v>207</v>
      </c>
      <c r="B127" s="484" t="s">
        <v>260</v>
      </c>
      <c r="C127" s="553" t="s">
        <v>253</v>
      </c>
      <c r="D127" s="486" t="s">
        <v>44</v>
      </c>
      <c r="E127" s="486">
        <v>1</v>
      </c>
      <c r="F127" s="457"/>
      <c r="G127" s="492">
        <f>Luong!H13</f>
        <v>284715</v>
      </c>
      <c r="H127" s="570">
        <f>ROUND(E127*G127,0)</f>
        <v>284715</v>
      </c>
    </row>
    <row r="128" spans="1:8" ht="33" x14ac:dyDescent="0.25">
      <c r="A128" s="572" t="s">
        <v>262</v>
      </c>
      <c r="B128" s="557" t="s">
        <v>263</v>
      </c>
      <c r="C128" s="440" t="s">
        <v>150</v>
      </c>
      <c r="D128" s="444" t="s">
        <v>44</v>
      </c>
      <c r="E128" s="444"/>
      <c r="F128" s="444">
        <v>1</v>
      </c>
      <c r="G128" s="492">
        <f>Luong!H13+Luong!H14</f>
        <v>597645</v>
      </c>
      <c r="H128" s="569">
        <f>ROUND(F128*G128,0)</f>
        <v>597645</v>
      </c>
    </row>
    <row r="129" spans="1:8" ht="33" customHeight="1" x14ac:dyDescent="0.25">
      <c r="A129" s="573"/>
      <c r="B129" s="558"/>
      <c r="C129" s="442" t="s">
        <v>25</v>
      </c>
      <c r="D129" s="441"/>
      <c r="E129" s="443"/>
      <c r="F129" s="445"/>
      <c r="G129" s="492"/>
      <c r="H129" s="492"/>
    </row>
    <row r="130" spans="1:8" ht="16.5" customHeight="1" x14ac:dyDescent="0.25">
      <c r="A130" s="573"/>
      <c r="B130" s="558"/>
      <c r="C130" s="559" t="s">
        <v>154</v>
      </c>
      <c r="D130" s="441" t="s">
        <v>14</v>
      </c>
      <c r="E130" s="441"/>
      <c r="F130" s="441">
        <v>0</v>
      </c>
      <c r="G130" s="494"/>
      <c r="H130" s="494">
        <f>ROUND(F130*G130,0)</f>
        <v>0</v>
      </c>
    </row>
    <row r="131" spans="1:8" ht="18.75" x14ac:dyDescent="0.25">
      <c r="A131" s="573"/>
      <c r="B131" s="558"/>
      <c r="C131" s="559" t="s">
        <v>155</v>
      </c>
      <c r="D131" s="441" t="s">
        <v>14</v>
      </c>
      <c r="E131" s="441"/>
      <c r="F131" s="441">
        <v>1</v>
      </c>
      <c r="G131" s="494">
        <v>21350</v>
      </c>
      <c r="H131" s="494">
        <f t="shared" ref="H131:H138" si="2">ROUND(F131*G131,0)</f>
        <v>21350</v>
      </c>
    </row>
    <row r="132" spans="1:8" ht="18.75" x14ac:dyDescent="0.25">
      <c r="A132" s="573"/>
      <c r="B132" s="558"/>
      <c r="C132" s="559" t="s">
        <v>156</v>
      </c>
      <c r="D132" s="441" t="s">
        <v>14</v>
      </c>
      <c r="E132" s="441"/>
      <c r="F132" s="441">
        <v>1.4</v>
      </c>
      <c r="G132" s="494">
        <v>21350</v>
      </c>
      <c r="H132" s="494">
        <f t="shared" si="2"/>
        <v>29890</v>
      </c>
    </row>
    <row r="133" spans="1:8" ht="33" customHeight="1" x14ac:dyDescent="0.25">
      <c r="A133" s="573"/>
      <c r="B133" s="558"/>
      <c r="C133" s="559" t="s">
        <v>157</v>
      </c>
      <c r="D133" s="441" t="s">
        <v>14</v>
      </c>
      <c r="E133" s="441"/>
      <c r="F133" s="441">
        <v>1.9</v>
      </c>
      <c r="G133" s="494">
        <v>21350</v>
      </c>
      <c r="H133" s="494">
        <f t="shared" si="2"/>
        <v>40565</v>
      </c>
    </row>
    <row r="134" spans="1:8" ht="18.75" x14ac:dyDescent="0.25">
      <c r="A134" s="573"/>
      <c r="B134" s="558"/>
      <c r="C134" s="559" t="s">
        <v>158</v>
      </c>
      <c r="D134" s="441" t="s">
        <v>14</v>
      </c>
      <c r="E134" s="441"/>
      <c r="F134" s="441">
        <v>2</v>
      </c>
      <c r="G134" s="494">
        <v>21350</v>
      </c>
      <c r="H134" s="494">
        <f t="shared" si="2"/>
        <v>42700</v>
      </c>
    </row>
    <row r="135" spans="1:8" ht="18.75" x14ac:dyDescent="0.25">
      <c r="A135" s="573"/>
      <c r="B135" s="558"/>
      <c r="C135" s="559" t="s">
        <v>164</v>
      </c>
      <c r="D135" s="441" t="s">
        <v>14</v>
      </c>
      <c r="E135" s="441"/>
      <c r="F135" s="441">
        <v>2.4</v>
      </c>
      <c r="G135" s="494">
        <v>21350</v>
      </c>
      <c r="H135" s="494">
        <f t="shared" si="2"/>
        <v>51240</v>
      </c>
    </row>
    <row r="136" spans="1:8" ht="18.75" x14ac:dyDescent="0.25">
      <c r="A136" s="573"/>
      <c r="B136" s="558"/>
      <c r="C136" s="559" t="s">
        <v>160</v>
      </c>
      <c r="D136" s="441" t="s">
        <v>14</v>
      </c>
      <c r="E136" s="441"/>
      <c r="F136" s="441">
        <v>3</v>
      </c>
      <c r="G136" s="494">
        <v>21350</v>
      </c>
      <c r="H136" s="494">
        <f t="shared" si="2"/>
        <v>64050</v>
      </c>
    </row>
    <row r="137" spans="1:8" ht="16.5" customHeight="1" x14ac:dyDescent="0.25">
      <c r="A137" s="573"/>
      <c r="B137" s="558"/>
      <c r="C137" s="559" t="s">
        <v>161</v>
      </c>
      <c r="D137" s="441" t="s">
        <v>14</v>
      </c>
      <c r="E137" s="441"/>
      <c r="F137" s="441">
        <v>3.3</v>
      </c>
      <c r="G137" s="494">
        <v>21350</v>
      </c>
      <c r="H137" s="494">
        <f t="shared" si="2"/>
        <v>70455</v>
      </c>
    </row>
    <row r="138" spans="1:8" ht="18.75" x14ac:dyDescent="0.25">
      <c r="A138" s="573"/>
      <c r="B138" s="558"/>
      <c r="C138" s="559" t="s">
        <v>162</v>
      </c>
      <c r="D138" s="441" t="s">
        <v>14</v>
      </c>
      <c r="E138" s="441"/>
      <c r="F138" s="441">
        <v>3.9</v>
      </c>
      <c r="G138" s="494">
        <v>21350</v>
      </c>
      <c r="H138" s="494">
        <f t="shared" si="2"/>
        <v>83265</v>
      </c>
    </row>
    <row r="139" spans="1:8" ht="49.5" customHeight="1" x14ac:dyDescent="0.25">
      <c r="A139" s="573"/>
      <c r="B139" s="558"/>
      <c r="C139" s="560" t="s">
        <v>15</v>
      </c>
      <c r="D139" s="446" t="s">
        <v>264</v>
      </c>
      <c r="E139" s="441"/>
      <c r="F139" s="447"/>
      <c r="G139" s="493"/>
      <c r="H139" s="493"/>
    </row>
    <row r="140" spans="1:8" ht="78.75" customHeight="1" x14ac:dyDescent="0.25">
      <c r="A140" s="573"/>
      <c r="B140" s="558"/>
      <c r="C140" s="517" t="s">
        <v>255</v>
      </c>
      <c r="D140" s="446" t="s">
        <v>264</v>
      </c>
      <c r="E140" s="495"/>
      <c r="F140" s="459">
        <v>1</v>
      </c>
      <c r="G140" s="563">
        <v>200000</v>
      </c>
      <c r="H140" s="563">
        <f>F140*G140</f>
        <v>200000</v>
      </c>
    </row>
    <row r="141" spans="1:8" ht="33" x14ac:dyDescent="0.25">
      <c r="A141" s="573"/>
      <c r="B141" s="558"/>
      <c r="C141" s="561" t="s">
        <v>256</v>
      </c>
      <c r="D141" s="446" t="s">
        <v>264</v>
      </c>
      <c r="E141" s="495"/>
      <c r="F141" s="459">
        <v>1</v>
      </c>
      <c r="G141" s="563">
        <v>160000</v>
      </c>
      <c r="H141" s="563">
        <f>F141*G141</f>
        <v>160000</v>
      </c>
    </row>
    <row r="142" spans="1:8" ht="33" x14ac:dyDescent="0.25">
      <c r="A142" s="469">
        <v>2</v>
      </c>
      <c r="B142" s="562" t="s">
        <v>203</v>
      </c>
      <c r="C142" s="515"/>
      <c r="D142" s="471"/>
      <c r="E142" s="472"/>
      <c r="F142" s="473"/>
      <c r="G142" s="457"/>
      <c r="H142" s="457"/>
    </row>
    <row r="143" spans="1:8" ht="16.5" customHeight="1" x14ac:dyDescent="0.25">
      <c r="A143" s="474" t="s">
        <v>208</v>
      </c>
      <c r="B143" s="475" t="s">
        <v>72</v>
      </c>
      <c r="C143" s="516"/>
      <c r="D143" s="457"/>
      <c r="E143" s="476"/>
      <c r="F143" s="457"/>
      <c r="G143" s="457"/>
      <c r="H143" s="457"/>
    </row>
    <row r="144" spans="1:8" ht="33" customHeight="1" x14ac:dyDescent="0.25">
      <c r="A144" s="714" t="s">
        <v>215</v>
      </c>
      <c r="B144" s="708" t="s">
        <v>214</v>
      </c>
      <c r="C144" s="504" t="s">
        <v>246</v>
      </c>
      <c r="D144" s="458" t="s">
        <v>44</v>
      </c>
      <c r="E144" s="482">
        <v>5</v>
      </c>
      <c r="F144" s="477"/>
      <c r="G144" s="493">
        <f>Luong!H11+Luong!H13</f>
        <v>541215</v>
      </c>
      <c r="H144" s="493">
        <f>ROUND(E144*G144,0)</f>
        <v>2706075</v>
      </c>
    </row>
    <row r="145" spans="1:8" ht="16.5" x14ac:dyDescent="0.25">
      <c r="A145" s="715"/>
      <c r="B145" s="709"/>
      <c r="C145" s="505" t="s">
        <v>18</v>
      </c>
      <c r="D145" s="459"/>
      <c r="E145" s="459"/>
      <c r="F145" s="464"/>
      <c r="G145" s="493"/>
      <c r="H145" s="493">
        <f>SUM(H146:H148)</f>
        <v>295000</v>
      </c>
    </row>
    <row r="146" spans="1:8" ht="16.5" x14ac:dyDescent="0.25">
      <c r="A146" s="715"/>
      <c r="B146" s="709"/>
      <c r="C146" s="508" t="s">
        <v>7</v>
      </c>
      <c r="D146" s="459" t="s">
        <v>20</v>
      </c>
      <c r="E146" s="459">
        <v>0.5</v>
      </c>
      <c r="F146" s="464"/>
      <c r="G146" s="499">
        <v>75000</v>
      </c>
      <c r="H146" s="494">
        <f>ROUND(E146*G146,0)</f>
        <v>37500</v>
      </c>
    </row>
    <row r="147" spans="1:8" ht="16.5" x14ac:dyDescent="0.25">
      <c r="A147" s="715"/>
      <c r="B147" s="709"/>
      <c r="C147" s="507" t="s">
        <v>8</v>
      </c>
      <c r="D147" s="479" t="s">
        <v>21</v>
      </c>
      <c r="E147" s="459">
        <v>0.3</v>
      </c>
      <c r="F147" s="464"/>
      <c r="G147" s="499">
        <v>850000</v>
      </c>
      <c r="H147" s="494">
        <f>ROUND(E147*G147,0)</f>
        <v>255000</v>
      </c>
    </row>
    <row r="148" spans="1:8" ht="16.5" customHeight="1" x14ac:dyDescent="0.25">
      <c r="A148" s="716"/>
      <c r="B148" s="710"/>
      <c r="C148" s="512" t="s">
        <v>19</v>
      </c>
      <c r="D148" s="480" t="s">
        <v>21</v>
      </c>
      <c r="E148" s="466">
        <v>0.5</v>
      </c>
      <c r="F148" s="481"/>
      <c r="G148" s="499">
        <v>5000</v>
      </c>
      <c r="H148" s="494">
        <f>ROUND(E148*G148,0)</f>
        <v>2500</v>
      </c>
    </row>
    <row r="149" spans="1:8" ht="33" customHeight="1" x14ac:dyDescent="0.25">
      <c r="A149" s="714" t="s">
        <v>216</v>
      </c>
      <c r="B149" s="708" t="s">
        <v>200</v>
      </c>
      <c r="C149" s="508" t="s">
        <v>241</v>
      </c>
      <c r="D149" s="459" t="s">
        <v>44</v>
      </c>
      <c r="E149" s="459">
        <v>1</v>
      </c>
      <c r="F149" s="460"/>
      <c r="G149" s="492">
        <f>Luong!H11+Luong!H14</f>
        <v>569430</v>
      </c>
      <c r="H149" s="492">
        <f>ROUND(E149*G149,0)</f>
        <v>569430</v>
      </c>
    </row>
    <row r="150" spans="1:8" ht="16.5" x14ac:dyDescent="0.25">
      <c r="A150" s="715"/>
      <c r="B150" s="709"/>
      <c r="C150" s="505" t="s">
        <v>18</v>
      </c>
      <c r="D150" s="459"/>
      <c r="E150" s="459"/>
      <c r="F150" s="460"/>
      <c r="G150" s="493"/>
      <c r="H150" s="493">
        <f>SUM(H151:H152)</f>
        <v>192500</v>
      </c>
    </row>
    <row r="151" spans="1:8" ht="16.5" x14ac:dyDescent="0.25">
      <c r="A151" s="715"/>
      <c r="B151" s="709"/>
      <c r="C151" s="508" t="s">
        <v>7</v>
      </c>
      <c r="D151" s="459" t="s">
        <v>20</v>
      </c>
      <c r="E151" s="459">
        <v>0.3</v>
      </c>
      <c r="F151" s="460"/>
      <c r="G151" s="499">
        <v>75000</v>
      </c>
      <c r="H151" s="494">
        <f>ROUND(E151*G151,0)</f>
        <v>22500</v>
      </c>
    </row>
    <row r="152" spans="1:8" ht="20.25" customHeight="1" x14ac:dyDescent="0.25">
      <c r="A152" s="716"/>
      <c r="B152" s="710"/>
      <c r="C152" s="507" t="s">
        <v>8</v>
      </c>
      <c r="D152" s="461" t="s">
        <v>21</v>
      </c>
      <c r="E152" s="459">
        <v>0.2</v>
      </c>
      <c r="F152" s="460"/>
      <c r="G152" s="499">
        <v>850000</v>
      </c>
      <c r="H152" s="494">
        <f>ROUND(E152*G152,0)</f>
        <v>170000</v>
      </c>
    </row>
    <row r="153" spans="1:8" ht="33" customHeight="1" x14ac:dyDescent="0.25">
      <c r="A153" s="714" t="s">
        <v>209</v>
      </c>
      <c r="B153" s="708" t="s">
        <v>165</v>
      </c>
      <c r="C153" s="504" t="s">
        <v>247</v>
      </c>
      <c r="D153" s="482" t="s">
        <v>44</v>
      </c>
      <c r="E153" s="482">
        <v>2</v>
      </c>
      <c r="F153" s="477"/>
      <c r="G153" s="492">
        <f>Luong!H11+Luong!H14</f>
        <v>569430</v>
      </c>
      <c r="H153" s="492">
        <f>ROUND(E153*G153,0)</f>
        <v>1138860</v>
      </c>
    </row>
    <row r="154" spans="1:8" ht="16.5" x14ac:dyDescent="0.25">
      <c r="A154" s="715"/>
      <c r="B154" s="709"/>
      <c r="C154" s="505" t="s">
        <v>18</v>
      </c>
      <c r="D154" s="459"/>
      <c r="E154" s="459"/>
      <c r="F154" s="464"/>
      <c r="G154" s="493"/>
      <c r="H154" s="493">
        <f>SUM(H155:H156)</f>
        <v>75500</v>
      </c>
    </row>
    <row r="155" spans="1:8" ht="16.5" x14ac:dyDescent="0.25">
      <c r="A155" s="715"/>
      <c r="B155" s="709"/>
      <c r="C155" s="508" t="s">
        <v>7</v>
      </c>
      <c r="D155" s="459" t="s">
        <v>20</v>
      </c>
      <c r="E155" s="459">
        <v>0.1</v>
      </c>
      <c r="F155" s="464"/>
      <c r="G155" s="499">
        <v>75000</v>
      </c>
      <c r="H155" s="494">
        <f>ROUND(E155*G155,0)</f>
        <v>7500</v>
      </c>
    </row>
    <row r="156" spans="1:8" ht="16.5" x14ac:dyDescent="0.25">
      <c r="A156" s="716"/>
      <c r="B156" s="710"/>
      <c r="C156" s="514" t="s">
        <v>8</v>
      </c>
      <c r="D156" s="480" t="s">
        <v>21</v>
      </c>
      <c r="E156" s="466">
        <v>0.08</v>
      </c>
      <c r="F156" s="481"/>
      <c r="G156" s="500">
        <v>850000</v>
      </c>
      <c r="H156" s="501">
        <f>ROUND(E156*G156,0)</f>
        <v>68000</v>
      </c>
    </row>
    <row r="157" spans="1:8" ht="33" customHeight="1" x14ac:dyDescent="0.25">
      <c r="A157" s="714" t="s">
        <v>210</v>
      </c>
      <c r="B157" s="708" t="s">
        <v>248</v>
      </c>
      <c r="C157" s="508" t="s">
        <v>241</v>
      </c>
      <c r="D157" s="482" t="s">
        <v>44</v>
      </c>
      <c r="E157" s="483">
        <v>6</v>
      </c>
      <c r="F157" s="464"/>
      <c r="G157" s="493">
        <f>Luong!H11+Luong!H14</f>
        <v>569430</v>
      </c>
      <c r="H157" s="493">
        <f>ROUND(E157*G157,0)</f>
        <v>3416580</v>
      </c>
    </row>
    <row r="158" spans="1:8" ht="49.5" customHeight="1" x14ac:dyDescent="0.25">
      <c r="A158" s="715"/>
      <c r="B158" s="709"/>
      <c r="C158" s="505" t="s">
        <v>18</v>
      </c>
      <c r="D158" s="459"/>
      <c r="E158" s="459"/>
      <c r="F158" s="464"/>
      <c r="G158" s="493"/>
      <c r="H158" s="493">
        <f>SUM(H159:H161)</f>
        <v>290000</v>
      </c>
    </row>
    <row r="159" spans="1:8" ht="16.5" x14ac:dyDescent="0.25">
      <c r="A159" s="715"/>
      <c r="B159" s="709"/>
      <c r="C159" s="508" t="s">
        <v>7</v>
      </c>
      <c r="D159" s="459" t="s">
        <v>20</v>
      </c>
      <c r="E159" s="459">
        <v>0.4</v>
      </c>
      <c r="F159" s="464"/>
      <c r="G159" s="499">
        <v>75000</v>
      </c>
      <c r="H159" s="494">
        <f>ROUND(E159*G159,0)</f>
        <v>30000</v>
      </c>
    </row>
    <row r="160" spans="1:8" ht="16.5" customHeight="1" x14ac:dyDescent="0.25">
      <c r="A160" s="715"/>
      <c r="B160" s="709"/>
      <c r="C160" s="507" t="s">
        <v>8</v>
      </c>
      <c r="D160" s="479" t="s">
        <v>21</v>
      </c>
      <c r="E160" s="459">
        <v>0.3</v>
      </c>
      <c r="F160" s="464"/>
      <c r="G160" s="499">
        <v>850000</v>
      </c>
      <c r="H160" s="494">
        <f>ROUND(E160*G160,0)</f>
        <v>255000</v>
      </c>
    </row>
    <row r="161" spans="1:8" ht="16.5" x14ac:dyDescent="0.25">
      <c r="A161" s="716"/>
      <c r="B161" s="710"/>
      <c r="C161" s="512" t="s">
        <v>19</v>
      </c>
      <c r="D161" s="480" t="s">
        <v>21</v>
      </c>
      <c r="E161" s="459">
        <v>1</v>
      </c>
      <c r="F161" s="481"/>
      <c r="G161" s="499">
        <v>5000</v>
      </c>
      <c r="H161" s="494">
        <f>ROUND(E161*G161,0)</f>
        <v>5000</v>
      </c>
    </row>
    <row r="162" spans="1:8" ht="82.5" x14ac:dyDescent="0.25">
      <c r="A162" s="474" t="s">
        <v>211</v>
      </c>
      <c r="B162" s="484" t="s">
        <v>213</v>
      </c>
      <c r="C162" s="516"/>
      <c r="D162" s="485"/>
      <c r="E162" s="486"/>
      <c r="F162" s="457"/>
      <c r="G162" s="457"/>
      <c r="H162" s="457"/>
    </row>
    <row r="163" spans="1:8" ht="49.5" customHeight="1" x14ac:dyDescent="0.25">
      <c r="A163" s="714" t="s">
        <v>217</v>
      </c>
      <c r="B163" s="708" t="s">
        <v>50</v>
      </c>
      <c r="C163" s="504" t="s">
        <v>244</v>
      </c>
      <c r="D163" s="482" t="s">
        <v>44</v>
      </c>
      <c r="E163" s="482">
        <v>6</v>
      </c>
      <c r="F163" s="477"/>
      <c r="G163" s="493">
        <f>Luong!H11+Luong!H13+Luong!H14</f>
        <v>854145</v>
      </c>
      <c r="H163" s="493">
        <f>ROUND(E163*G163,0)</f>
        <v>5124870</v>
      </c>
    </row>
    <row r="164" spans="1:8" ht="16.5" x14ac:dyDescent="0.25">
      <c r="A164" s="715"/>
      <c r="B164" s="709"/>
      <c r="C164" s="505" t="s">
        <v>18</v>
      </c>
      <c r="D164" s="459"/>
      <c r="E164" s="459"/>
      <c r="F164" s="464"/>
      <c r="G164" s="493"/>
      <c r="H164" s="493">
        <f>SUM(H165:H167)</f>
        <v>502500</v>
      </c>
    </row>
    <row r="165" spans="1:8" ht="16.5" x14ac:dyDescent="0.25">
      <c r="A165" s="715"/>
      <c r="B165" s="709"/>
      <c r="C165" s="508" t="s">
        <v>7</v>
      </c>
      <c r="D165" s="459" t="s">
        <v>20</v>
      </c>
      <c r="E165" s="487">
        <v>1</v>
      </c>
      <c r="F165" s="464"/>
      <c r="G165" s="499">
        <v>75000</v>
      </c>
      <c r="H165" s="494">
        <f>ROUND(E165*G165,0)</f>
        <v>75000</v>
      </c>
    </row>
    <row r="166" spans="1:8" ht="16.5" customHeight="1" x14ac:dyDescent="0.25">
      <c r="A166" s="715"/>
      <c r="B166" s="709"/>
      <c r="C166" s="507" t="s">
        <v>8</v>
      </c>
      <c r="D166" s="479" t="s">
        <v>21</v>
      </c>
      <c r="E166" s="459">
        <v>0.5</v>
      </c>
      <c r="F166" s="464"/>
      <c r="G166" s="499">
        <v>850000</v>
      </c>
      <c r="H166" s="494">
        <f>ROUND(E166*G166,0)</f>
        <v>425000</v>
      </c>
    </row>
    <row r="167" spans="1:8" ht="16.5" x14ac:dyDescent="0.25">
      <c r="A167" s="716"/>
      <c r="B167" s="710"/>
      <c r="C167" s="512" t="s">
        <v>19</v>
      </c>
      <c r="D167" s="480" t="s">
        <v>21</v>
      </c>
      <c r="E167" s="459">
        <v>0.5</v>
      </c>
      <c r="F167" s="481"/>
      <c r="G167" s="500">
        <v>5000</v>
      </c>
      <c r="H167" s="501">
        <f>ROUND(E167*G167,0)</f>
        <v>2500</v>
      </c>
    </row>
    <row r="168" spans="1:8" ht="49.5" x14ac:dyDescent="0.25">
      <c r="A168" s="714" t="s">
        <v>218</v>
      </c>
      <c r="B168" s="717" t="s">
        <v>51</v>
      </c>
      <c r="C168" s="504" t="s">
        <v>259</v>
      </c>
      <c r="D168" s="482" t="s">
        <v>44</v>
      </c>
      <c r="E168" s="482">
        <v>3</v>
      </c>
      <c r="F168" s="477"/>
      <c r="G168" s="493">
        <f>Luong!H11+Luong!H12+2*Luong!H13+Luong!H14</f>
        <v>1423575</v>
      </c>
      <c r="H168" s="493">
        <f>ROUND(E168*G168,0)</f>
        <v>4270725</v>
      </c>
    </row>
    <row r="169" spans="1:8" ht="16.5" x14ac:dyDescent="0.25">
      <c r="A169" s="715"/>
      <c r="B169" s="718"/>
      <c r="C169" s="505" t="s">
        <v>18</v>
      </c>
      <c r="D169" s="459"/>
      <c r="E169" s="459"/>
      <c r="F169" s="464"/>
      <c r="G169" s="493"/>
      <c r="H169" s="493">
        <f>SUM(H170:H172)</f>
        <v>212500</v>
      </c>
    </row>
    <row r="170" spans="1:8" ht="16.5" x14ac:dyDescent="0.25">
      <c r="A170" s="715"/>
      <c r="B170" s="718"/>
      <c r="C170" s="508" t="s">
        <v>7</v>
      </c>
      <c r="D170" s="459" t="s">
        <v>20</v>
      </c>
      <c r="E170" s="459">
        <v>0.5</v>
      </c>
      <c r="F170" s="464"/>
      <c r="G170" s="499">
        <v>75000</v>
      </c>
      <c r="H170" s="494">
        <f>ROUND(E170*G170,0)</f>
        <v>37500</v>
      </c>
    </row>
    <row r="171" spans="1:8" ht="16.5" x14ac:dyDescent="0.25">
      <c r="A171" s="715"/>
      <c r="B171" s="718"/>
      <c r="C171" s="507" t="s">
        <v>8</v>
      </c>
      <c r="D171" s="479" t="s">
        <v>21</v>
      </c>
      <c r="E171" s="459">
        <v>0.2</v>
      </c>
      <c r="F171" s="464"/>
      <c r="G171" s="499">
        <v>850000</v>
      </c>
      <c r="H171" s="494">
        <f>ROUND(E171*G171,0)</f>
        <v>170000</v>
      </c>
    </row>
    <row r="172" spans="1:8" ht="16.5" customHeight="1" x14ac:dyDescent="0.25">
      <c r="A172" s="716"/>
      <c r="B172" s="719"/>
      <c r="C172" s="512" t="s">
        <v>19</v>
      </c>
      <c r="D172" s="480" t="s">
        <v>21</v>
      </c>
      <c r="E172" s="466">
        <v>1</v>
      </c>
      <c r="F172" s="481"/>
      <c r="G172" s="500">
        <v>5000</v>
      </c>
      <c r="H172" s="501">
        <f>ROUND(E172*G172,0)</f>
        <v>5000</v>
      </c>
    </row>
    <row r="173" spans="1:8" ht="33" customHeight="1" x14ac:dyDescent="0.25">
      <c r="A173" s="714" t="s">
        <v>219</v>
      </c>
      <c r="B173" s="708" t="s">
        <v>52</v>
      </c>
      <c r="C173" s="504" t="s">
        <v>249</v>
      </c>
      <c r="D173" s="482" t="s">
        <v>44</v>
      </c>
      <c r="E173" s="482">
        <v>1</v>
      </c>
      <c r="F173" s="477"/>
      <c r="G173" s="492">
        <f>Luong!H13+Luong!H14</f>
        <v>597645</v>
      </c>
      <c r="H173" s="492">
        <f>ROUND(E173*G173,0)</f>
        <v>597645</v>
      </c>
    </row>
    <row r="174" spans="1:8" ht="16.5" x14ac:dyDescent="0.25">
      <c r="A174" s="715"/>
      <c r="B174" s="709"/>
      <c r="C174" s="505" t="s">
        <v>18</v>
      </c>
      <c r="D174" s="459"/>
      <c r="E174" s="459"/>
      <c r="F174" s="464"/>
      <c r="G174" s="493"/>
      <c r="H174" s="493">
        <f>SUM(H175:H176)</f>
        <v>100000</v>
      </c>
    </row>
    <row r="175" spans="1:8" ht="16.5" x14ac:dyDescent="0.25">
      <c r="A175" s="715"/>
      <c r="B175" s="709"/>
      <c r="C175" s="508" t="s">
        <v>7</v>
      </c>
      <c r="D175" s="459" t="s">
        <v>20</v>
      </c>
      <c r="E175" s="459">
        <v>0.2</v>
      </c>
      <c r="F175" s="464"/>
      <c r="G175" s="499">
        <v>75000</v>
      </c>
      <c r="H175" s="494">
        <f>ROUND(E175*G175,0)</f>
        <v>15000</v>
      </c>
    </row>
    <row r="176" spans="1:8" ht="16.5" x14ac:dyDescent="0.25">
      <c r="A176" s="716"/>
      <c r="B176" s="710"/>
      <c r="C176" s="514" t="s">
        <v>8</v>
      </c>
      <c r="D176" s="480" t="s">
        <v>21</v>
      </c>
      <c r="E176" s="466">
        <v>0.1</v>
      </c>
      <c r="F176" s="481"/>
      <c r="G176" s="500">
        <v>850000</v>
      </c>
      <c r="H176" s="501">
        <f>ROUND(E176*G176,0)</f>
        <v>85000</v>
      </c>
    </row>
    <row r="177" spans="1:8" ht="16.5" customHeight="1" x14ac:dyDescent="0.25">
      <c r="A177" s="714" t="s">
        <v>220</v>
      </c>
      <c r="B177" s="708" t="s">
        <v>53</v>
      </c>
      <c r="C177" s="504" t="s">
        <v>250</v>
      </c>
      <c r="D177" s="482" t="s">
        <v>44</v>
      </c>
      <c r="E177" s="482">
        <v>2</v>
      </c>
      <c r="F177" s="477"/>
      <c r="G177" s="492">
        <f>Luong!H12+Luong!H13+Luong!H14</f>
        <v>882360</v>
      </c>
      <c r="H177" s="492">
        <f>ROUND(E177*G177,0)</f>
        <v>1764720</v>
      </c>
    </row>
    <row r="178" spans="1:8" ht="16.5" x14ac:dyDescent="0.25">
      <c r="A178" s="715"/>
      <c r="B178" s="709"/>
      <c r="C178" s="505" t="s">
        <v>18</v>
      </c>
      <c r="D178" s="459"/>
      <c r="E178" s="459"/>
      <c r="F178" s="464"/>
      <c r="G178" s="493"/>
      <c r="H178" s="493">
        <f>SUM(H179:H181)</f>
        <v>295000</v>
      </c>
    </row>
    <row r="179" spans="1:8" ht="33" customHeight="1" x14ac:dyDescent="0.25">
      <c r="A179" s="715"/>
      <c r="B179" s="709"/>
      <c r="C179" s="508" t="s">
        <v>7</v>
      </c>
      <c r="D179" s="459" t="s">
        <v>20</v>
      </c>
      <c r="E179" s="459">
        <v>0.5</v>
      </c>
      <c r="F179" s="464"/>
      <c r="G179" s="499">
        <v>75000</v>
      </c>
      <c r="H179" s="494">
        <f>ROUND(E179*G179,0)</f>
        <v>37500</v>
      </c>
    </row>
    <row r="180" spans="1:8" ht="16.5" x14ac:dyDescent="0.25">
      <c r="A180" s="715"/>
      <c r="B180" s="709"/>
      <c r="C180" s="507" t="s">
        <v>8</v>
      </c>
      <c r="D180" s="479" t="s">
        <v>21</v>
      </c>
      <c r="E180" s="459">
        <v>0.3</v>
      </c>
      <c r="F180" s="464"/>
      <c r="G180" s="499">
        <v>850000</v>
      </c>
      <c r="H180" s="494">
        <f>ROUND(E180*G180,0)</f>
        <v>255000</v>
      </c>
    </row>
    <row r="181" spans="1:8" ht="16.5" x14ac:dyDescent="0.25">
      <c r="A181" s="716"/>
      <c r="B181" s="710"/>
      <c r="C181" s="512" t="s">
        <v>19</v>
      </c>
      <c r="D181" s="480" t="s">
        <v>21</v>
      </c>
      <c r="E181" s="466">
        <v>0.5</v>
      </c>
      <c r="F181" s="481"/>
      <c r="G181" s="500">
        <v>5000</v>
      </c>
      <c r="H181" s="501">
        <f>ROUND(E181*G181,0)</f>
        <v>2500</v>
      </c>
    </row>
    <row r="182" spans="1:8" ht="235.5" customHeight="1" x14ac:dyDescent="0.25">
      <c r="A182" s="474" t="s">
        <v>212</v>
      </c>
      <c r="B182" s="484" t="s">
        <v>54</v>
      </c>
      <c r="C182" s="516"/>
      <c r="D182" s="485"/>
      <c r="E182" s="486"/>
      <c r="F182" s="457"/>
      <c r="G182" s="457"/>
      <c r="H182" s="457"/>
    </row>
    <row r="183" spans="1:8" ht="49.5" customHeight="1" x14ac:dyDescent="0.25">
      <c r="A183" s="714" t="s">
        <v>221</v>
      </c>
      <c r="B183" s="708" t="s">
        <v>202</v>
      </c>
      <c r="C183" s="504" t="s">
        <v>244</v>
      </c>
      <c r="D183" s="482" t="s">
        <v>44</v>
      </c>
      <c r="E183" s="482">
        <v>4</v>
      </c>
      <c r="F183" s="477"/>
      <c r="G183" s="493">
        <f>Luong!H11+Luong!H13+Luong!H14</f>
        <v>854145</v>
      </c>
      <c r="H183" s="493">
        <f>ROUND(E183*G183,0)</f>
        <v>3416580</v>
      </c>
    </row>
    <row r="184" spans="1:8" ht="16.5" x14ac:dyDescent="0.25">
      <c r="A184" s="715"/>
      <c r="B184" s="709"/>
      <c r="C184" s="505" t="s">
        <v>18</v>
      </c>
      <c r="D184" s="459"/>
      <c r="E184" s="459"/>
      <c r="F184" s="464"/>
      <c r="G184" s="493"/>
      <c r="H184" s="493">
        <f>SUM(H185:H187)</f>
        <v>195000</v>
      </c>
    </row>
    <row r="185" spans="1:8" ht="16.5" x14ac:dyDescent="0.25">
      <c r="A185" s="715"/>
      <c r="B185" s="709"/>
      <c r="C185" s="508" t="s">
        <v>7</v>
      </c>
      <c r="D185" s="459" t="s">
        <v>20</v>
      </c>
      <c r="E185" s="459">
        <v>0.3</v>
      </c>
      <c r="F185" s="464"/>
      <c r="G185" s="499">
        <v>75000</v>
      </c>
      <c r="H185" s="494">
        <f>ROUND(E185*G185,0)</f>
        <v>22500</v>
      </c>
    </row>
    <row r="186" spans="1:8" ht="16.5" x14ac:dyDescent="0.25">
      <c r="A186" s="715"/>
      <c r="B186" s="709"/>
      <c r="C186" s="507" t="s">
        <v>8</v>
      </c>
      <c r="D186" s="479" t="s">
        <v>21</v>
      </c>
      <c r="E186" s="459">
        <v>0.2</v>
      </c>
      <c r="F186" s="464"/>
      <c r="G186" s="499">
        <v>850000</v>
      </c>
      <c r="H186" s="494">
        <f>ROUND(E186*G186,0)</f>
        <v>170000</v>
      </c>
    </row>
    <row r="187" spans="1:8" ht="44.25" customHeight="1" x14ac:dyDescent="0.25">
      <c r="A187" s="716"/>
      <c r="B187" s="710"/>
      <c r="C187" s="508" t="s">
        <v>19</v>
      </c>
      <c r="D187" s="580" t="s">
        <v>21</v>
      </c>
      <c r="E187" s="575">
        <v>0.5</v>
      </c>
      <c r="F187" s="550"/>
      <c r="G187" s="551">
        <v>5000</v>
      </c>
      <c r="H187" s="552">
        <f>ROUND(E187*G187,0)</f>
        <v>2500</v>
      </c>
    </row>
    <row r="188" spans="1:8" ht="49.5" x14ac:dyDescent="0.25">
      <c r="A188" s="714" t="s">
        <v>222</v>
      </c>
      <c r="B188" s="708" t="s">
        <v>67</v>
      </c>
      <c r="C188" s="504" t="s">
        <v>251</v>
      </c>
      <c r="D188" s="482" t="s">
        <v>44</v>
      </c>
      <c r="E188" s="482">
        <v>4</v>
      </c>
      <c r="F188" s="477"/>
      <c r="G188" s="493">
        <f>Luong!H11+Luong!H12+Luong!H13+Luong!H14</f>
        <v>1138860</v>
      </c>
      <c r="H188" s="493">
        <f>ROUND(E188*G188,0)</f>
        <v>4555440</v>
      </c>
    </row>
    <row r="189" spans="1:8" ht="16.5" customHeight="1" x14ac:dyDescent="0.25">
      <c r="A189" s="715"/>
      <c r="B189" s="709"/>
      <c r="C189" s="505" t="s">
        <v>18</v>
      </c>
      <c r="D189" s="459"/>
      <c r="E189" s="459"/>
      <c r="F189" s="464"/>
      <c r="G189" s="493"/>
      <c r="H189" s="493">
        <f>SUM(H190:H192)</f>
        <v>202500</v>
      </c>
    </row>
    <row r="190" spans="1:8" ht="16.5" x14ac:dyDescent="0.25">
      <c r="A190" s="715"/>
      <c r="B190" s="709"/>
      <c r="C190" s="508" t="s">
        <v>7</v>
      </c>
      <c r="D190" s="459" t="s">
        <v>20</v>
      </c>
      <c r="E190" s="459">
        <v>0.4</v>
      </c>
      <c r="F190" s="464"/>
      <c r="G190" s="499">
        <v>75000</v>
      </c>
      <c r="H190" s="494">
        <f>ROUND(E190*G190,0)</f>
        <v>30000</v>
      </c>
    </row>
    <row r="191" spans="1:8" ht="16.5" x14ac:dyDescent="0.25">
      <c r="A191" s="715"/>
      <c r="B191" s="709"/>
      <c r="C191" s="507" t="s">
        <v>8</v>
      </c>
      <c r="D191" s="479" t="s">
        <v>21</v>
      </c>
      <c r="E191" s="459">
        <v>0.2</v>
      </c>
      <c r="F191" s="464"/>
      <c r="G191" s="499">
        <v>850000</v>
      </c>
      <c r="H191" s="494">
        <f>ROUND(E191*G191,0)</f>
        <v>170000</v>
      </c>
    </row>
    <row r="192" spans="1:8" ht="16.5" x14ac:dyDescent="0.25">
      <c r="A192" s="716"/>
      <c r="B192" s="710"/>
      <c r="C192" s="508" t="s">
        <v>19</v>
      </c>
      <c r="D192" s="479" t="s">
        <v>21</v>
      </c>
      <c r="E192" s="459">
        <v>0.5</v>
      </c>
      <c r="F192" s="464"/>
      <c r="G192" s="499">
        <v>5000</v>
      </c>
      <c r="H192" s="494">
        <f>ROUND(E192*G192,0)</f>
        <v>2500</v>
      </c>
    </row>
    <row r="193" spans="1:10" ht="49.5" x14ac:dyDescent="0.25">
      <c r="A193" s="582" t="s">
        <v>223</v>
      </c>
      <c r="B193" s="488" t="s">
        <v>133</v>
      </c>
      <c r="C193" s="504" t="s">
        <v>244</v>
      </c>
      <c r="D193" s="482" t="s">
        <v>44</v>
      </c>
      <c r="E193" s="482"/>
      <c r="F193" s="458">
        <v>1</v>
      </c>
      <c r="G193" s="492">
        <f>Luong!H11+Luong!H13+Luong!H14</f>
        <v>854145</v>
      </c>
      <c r="H193" s="492">
        <f>ROUND(F193*G193,0)</f>
        <v>854145</v>
      </c>
    </row>
    <row r="194" spans="1:10" ht="33" x14ac:dyDescent="0.25">
      <c r="A194" s="489"/>
      <c r="B194" s="490"/>
      <c r="C194" s="508" t="s">
        <v>242</v>
      </c>
      <c r="D194" s="459"/>
      <c r="E194" s="462"/>
      <c r="F194" s="464"/>
      <c r="G194" s="464"/>
      <c r="H194" s="464"/>
      <c r="J194" s="454" t="s">
        <v>233</v>
      </c>
    </row>
    <row r="195" spans="1:10" ht="16.5" customHeight="1" x14ac:dyDescent="0.25">
      <c r="A195" s="489"/>
      <c r="B195" s="490"/>
      <c r="C195" s="509" t="s">
        <v>154</v>
      </c>
      <c r="D195" s="459" t="s">
        <v>14</v>
      </c>
      <c r="E195" s="459"/>
      <c r="F195" s="459">
        <v>0</v>
      </c>
      <c r="G195" s="494"/>
      <c r="H195" s="494">
        <f>ROUND(F195*G195,0)</f>
        <v>0</v>
      </c>
    </row>
    <row r="196" spans="1:10" ht="37.5" x14ac:dyDescent="0.25">
      <c r="A196" s="489"/>
      <c r="B196" s="490"/>
      <c r="C196" s="510" t="s">
        <v>155</v>
      </c>
      <c r="D196" s="459" t="s">
        <v>14</v>
      </c>
      <c r="E196" s="459"/>
      <c r="F196" s="459">
        <v>1</v>
      </c>
      <c r="G196" s="494">
        <v>21350</v>
      </c>
      <c r="H196" s="494">
        <f t="shared" ref="H196:H203" si="3">ROUND(F196*G196,0)</f>
        <v>21350</v>
      </c>
    </row>
    <row r="197" spans="1:10" ht="37.5" x14ac:dyDescent="0.25">
      <c r="A197" s="489"/>
      <c r="B197" s="490"/>
      <c r="C197" s="510" t="s">
        <v>156</v>
      </c>
      <c r="D197" s="459" t="s">
        <v>14</v>
      </c>
      <c r="E197" s="459"/>
      <c r="F197" s="459">
        <v>1.4</v>
      </c>
      <c r="G197" s="494">
        <v>21350</v>
      </c>
      <c r="H197" s="494">
        <f t="shared" si="3"/>
        <v>29890</v>
      </c>
    </row>
    <row r="198" spans="1:10" ht="37.5" x14ac:dyDescent="0.25">
      <c r="A198" s="489"/>
      <c r="B198" s="490"/>
      <c r="C198" s="510" t="s">
        <v>157</v>
      </c>
      <c r="D198" s="459" t="s">
        <v>14</v>
      </c>
      <c r="E198" s="459"/>
      <c r="F198" s="459">
        <v>1.9</v>
      </c>
      <c r="G198" s="494">
        <v>21350</v>
      </c>
      <c r="H198" s="494">
        <f t="shared" si="3"/>
        <v>40565</v>
      </c>
    </row>
    <row r="199" spans="1:10" ht="37.5" x14ac:dyDescent="0.25">
      <c r="A199" s="489"/>
      <c r="B199" s="490"/>
      <c r="C199" s="510" t="s">
        <v>158</v>
      </c>
      <c r="D199" s="459" t="s">
        <v>14</v>
      </c>
      <c r="E199" s="459"/>
      <c r="F199" s="459">
        <v>2</v>
      </c>
      <c r="G199" s="494">
        <v>21350</v>
      </c>
      <c r="H199" s="494">
        <f t="shared" si="3"/>
        <v>42700</v>
      </c>
    </row>
    <row r="200" spans="1:10" ht="18.75" x14ac:dyDescent="0.25">
      <c r="A200" s="489"/>
      <c r="B200" s="490"/>
      <c r="C200" s="510" t="s">
        <v>164</v>
      </c>
      <c r="D200" s="459" t="s">
        <v>14</v>
      </c>
      <c r="E200" s="459"/>
      <c r="F200" s="459">
        <v>2.4</v>
      </c>
      <c r="G200" s="494">
        <v>21350</v>
      </c>
      <c r="H200" s="494">
        <f t="shared" si="3"/>
        <v>51240</v>
      </c>
    </row>
    <row r="201" spans="1:10" ht="18.75" x14ac:dyDescent="0.25">
      <c r="A201" s="489"/>
      <c r="B201" s="490"/>
      <c r="C201" s="510" t="s">
        <v>160</v>
      </c>
      <c r="D201" s="459" t="s">
        <v>14</v>
      </c>
      <c r="E201" s="459"/>
      <c r="F201" s="459">
        <v>3</v>
      </c>
      <c r="G201" s="494">
        <v>21350</v>
      </c>
      <c r="H201" s="494">
        <f t="shared" si="3"/>
        <v>64050</v>
      </c>
    </row>
    <row r="202" spans="1:10" ht="37.5" x14ac:dyDescent="0.25">
      <c r="A202" s="489"/>
      <c r="B202" s="490"/>
      <c r="C202" s="510" t="s">
        <v>163</v>
      </c>
      <c r="D202" s="459" t="s">
        <v>14</v>
      </c>
      <c r="E202" s="459"/>
      <c r="F202" s="459">
        <v>3.3</v>
      </c>
      <c r="G202" s="494">
        <v>21350</v>
      </c>
      <c r="H202" s="494">
        <f t="shared" si="3"/>
        <v>70455</v>
      </c>
    </row>
    <row r="203" spans="1:10" ht="23.25" customHeight="1" x14ac:dyDescent="0.25">
      <c r="A203" s="489"/>
      <c r="B203" s="490"/>
      <c r="C203" s="510" t="s">
        <v>162</v>
      </c>
      <c r="D203" s="459" t="s">
        <v>14</v>
      </c>
      <c r="E203" s="459"/>
      <c r="F203" s="459">
        <v>3.9</v>
      </c>
      <c r="G203" s="494">
        <v>21350</v>
      </c>
      <c r="H203" s="494">
        <f t="shared" si="3"/>
        <v>83265</v>
      </c>
    </row>
    <row r="204" spans="1:10" ht="18.75" customHeight="1" x14ac:dyDescent="0.25">
      <c r="A204" s="489"/>
      <c r="B204" s="490"/>
      <c r="C204" s="511" t="s">
        <v>15</v>
      </c>
      <c r="D204" s="463"/>
      <c r="E204" s="459"/>
      <c r="F204" s="459"/>
      <c r="G204" s="464"/>
      <c r="H204" s="464"/>
    </row>
    <row r="205" spans="1:10" ht="76.5" customHeight="1" x14ac:dyDescent="0.25">
      <c r="A205" s="583"/>
      <c r="B205" s="578"/>
      <c r="C205" s="517" t="s">
        <v>255</v>
      </c>
      <c r="D205" s="446" t="s">
        <v>265</v>
      </c>
      <c r="E205" s="495"/>
      <c r="F205" s="459">
        <v>1</v>
      </c>
      <c r="G205" s="496">
        <v>300000</v>
      </c>
      <c r="H205" s="496">
        <f>F205*G205</f>
        <v>300000</v>
      </c>
    </row>
    <row r="206" spans="1:10" ht="33" x14ac:dyDescent="0.25">
      <c r="A206" s="583"/>
      <c r="B206" s="578"/>
      <c r="C206" s="518" t="s">
        <v>256</v>
      </c>
      <c r="D206" s="446" t="s">
        <v>265</v>
      </c>
      <c r="E206" s="497"/>
      <c r="F206" s="459">
        <v>1</v>
      </c>
      <c r="G206" s="498">
        <v>240000</v>
      </c>
      <c r="H206" s="498">
        <f>F206*G206</f>
        <v>240000</v>
      </c>
    </row>
    <row r="207" spans="1:10" ht="16.5" customHeight="1" x14ac:dyDescent="0.25">
      <c r="A207" s="714" t="s">
        <v>224</v>
      </c>
      <c r="B207" s="708" t="s">
        <v>130</v>
      </c>
      <c r="C207" s="504" t="s">
        <v>252</v>
      </c>
      <c r="D207" s="482" t="s">
        <v>44</v>
      </c>
      <c r="E207" s="482">
        <v>3</v>
      </c>
      <c r="F207" s="477"/>
      <c r="G207" s="492">
        <f>Luong!H12+Luong!H13</f>
        <v>569430</v>
      </c>
      <c r="H207" s="492">
        <f>ROUND(E207*G207,0)</f>
        <v>1708290</v>
      </c>
    </row>
    <row r="208" spans="1:10" ht="16.5" x14ac:dyDescent="0.25">
      <c r="A208" s="715"/>
      <c r="B208" s="709"/>
      <c r="C208" s="505" t="s">
        <v>18</v>
      </c>
      <c r="D208" s="459"/>
      <c r="E208" s="459"/>
      <c r="F208" s="464"/>
      <c r="G208" s="493"/>
      <c r="H208" s="493">
        <f>SUM(H209:H210)</f>
        <v>192500</v>
      </c>
    </row>
    <row r="209" spans="1:8" ht="16.5" x14ac:dyDescent="0.25">
      <c r="A209" s="715"/>
      <c r="B209" s="709"/>
      <c r="C209" s="508" t="s">
        <v>7</v>
      </c>
      <c r="D209" s="459" t="s">
        <v>20</v>
      </c>
      <c r="E209" s="459">
        <v>0.3</v>
      </c>
      <c r="F209" s="464"/>
      <c r="G209" s="499">
        <v>75000</v>
      </c>
      <c r="H209" s="494">
        <f>ROUND(E209*G209,0)</f>
        <v>22500</v>
      </c>
    </row>
    <row r="210" spans="1:8" ht="16.5" x14ac:dyDescent="0.25">
      <c r="A210" s="716"/>
      <c r="B210" s="710"/>
      <c r="C210" s="514" t="s">
        <v>8</v>
      </c>
      <c r="D210" s="480" t="s">
        <v>21</v>
      </c>
      <c r="E210" s="466">
        <v>0.2</v>
      </c>
      <c r="F210" s="481"/>
      <c r="G210" s="500">
        <v>850000</v>
      </c>
      <c r="H210" s="501">
        <f>ROUND(E210*G210,0)</f>
        <v>170000</v>
      </c>
    </row>
  </sheetData>
  <mergeCells count="70">
    <mergeCell ref="A1:H1"/>
    <mergeCell ref="A207:A210"/>
    <mergeCell ref="B207:B210"/>
    <mergeCell ref="G3:G4"/>
    <mergeCell ref="H3:H4"/>
    <mergeCell ref="B97:B110"/>
    <mergeCell ref="A97:A110"/>
    <mergeCell ref="A183:A187"/>
    <mergeCell ref="B183:B187"/>
    <mergeCell ref="A188:A192"/>
    <mergeCell ref="B188:B192"/>
    <mergeCell ref="A168:A172"/>
    <mergeCell ref="B168:B172"/>
    <mergeCell ref="A173:A176"/>
    <mergeCell ref="B173:B176"/>
    <mergeCell ref="A177:A181"/>
    <mergeCell ref="B177:B181"/>
    <mergeCell ref="A153:A156"/>
    <mergeCell ref="B153:B156"/>
    <mergeCell ref="A157:A161"/>
    <mergeCell ref="B157:B161"/>
    <mergeCell ref="A163:A167"/>
    <mergeCell ref="B163:B167"/>
    <mergeCell ref="A123:A126"/>
    <mergeCell ref="B123:B126"/>
    <mergeCell ref="A144:A148"/>
    <mergeCell ref="B144:B148"/>
    <mergeCell ref="A149:A152"/>
    <mergeCell ref="B149:B152"/>
    <mergeCell ref="A111:A114"/>
    <mergeCell ref="B111:B114"/>
    <mergeCell ref="A115:A118"/>
    <mergeCell ref="B115:B118"/>
    <mergeCell ref="A119:A122"/>
    <mergeCell ref="B119:B122"/>
    <mergeCell ref="A67:A71"/>
    <mergeCell ref="B67:B71"/>
    <mergeCell ref="A87:A91"/>
    <mergeCell ref="B87:B91"/>
    <mergeCell ref="A92:A96"/>
    <mergeCell ref="B92:B96"/>
    <mergeCell ref="A72:A76"/>
    <mergeCell ref="B72:B76"/>
    <mergeCell ref="A77:A80"/>
    <mergeCell ref="B77:B80"/>
    <mergeCell ref="A81:A85"/>
    <mergeCell ref="B81:B85"/>
    <mergeCell ref="A53:A56"/>
    <mergeCell ref="B53:B56"/>
    <mergeCell ref="A57:A60"/>
    <mergeCell ref="B57:B60"/>
    <mergeCell ref="A61:A65"/>
    <mergeCell ref="B61:B65"/>
    <mergeCell ref="A37:A40"/>
    <mergeCell ref="B37:B40"/>
    <mergeCell ref="A41:A44"/>
    <mergeCell ref="B41:B44"/>
    <mergeCell ref="A48:A52"/>
    <mergeCell ref="B48:B52"/>
    <mergeCell ref="D3:D4"/>
    <mergeCell ref="E3:F3"/>
    <mergeCell ref="A25:A30"/>
    <mergeCell ref="B25:B30"/>
    <mergeCell ref="A31:A36"/>
    <mergeCell ref="B31:B36"/>
    <mergeCell ref="A7:A22"/>
    <mergeCell ref="B7:B22"/>
    <mergeCell ref="A3:A4"/>
    <mergeCell ref="B3:B4"/>
    <mergeCell ref="C3:C4"/>
  </mergeCells>
  <pageMargins left="0.17" right="0.17" top="0.26" bottom="0.37" header="0.17" footer="0.18"/>
  <pageSetup paperSize="9"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tabSelected="1" workbookViewId="0">
      <selection activeCell="K50" sqref="K50"/>
    </sheetView>
  </sheetViews>
  <sheetFormatPr defaultColWidth="9" defaultRowHeight="16.5" x14ac:dyDescent="0.25"/>
  <cols>
    <col min="1" max="1" width="5.75" style="340" bestFit="1" customWidth="1"/>
    <col min="2" max="2" width="37.625" style="340" customWidth="1"/>
    <col min="3" max="3" width="10" style="388" bestFit="1" customWidth="1"/>
    <col min="4" max="5" width="11.125" style="340" customWidth="1"/>
    <col min="6" max="6" width="9.875" style="340" customWidth="1"/>
    <col min="7" max="7" width="11.125" style="340" bestFit="1" customWidth="1"/>
    <col min="8" max="8" width="12.375" style="340" customWidth="1"/>
    <col min="9" max="9" width="13.5" style="340" customWidth="1"/>
    <col min="10" max="10" width="12.375" style="386" customWidth="1"/>
    <col min="11" max="11" width="11.125" style="340" bestFit="1" customWidth="1"/>
    <col min="12" max="12" width="11.75" style="340" customWidth="1"/>
    <col min="13" max="13" width="10" style="340" bestFit="1" customWidth="1"/>
    <col min="14" max="16384" width="9" style="340"/>
  </cols>
  <sheetData>
    <row r="1" spans="1:12" x14ac:dyDescent="0.25">
      <c r="A1" s="739" t="s">
        <v>237</v>
      </c>
      <c r="B1" s="739"/>
      <c r="C1" s="739"/>
      <c r="D1" s="739"/>
      <c r="E1" s="739"/>
      <c r="F1" s="739"/>
      <c r="G1" s="739"/>
      <c r="H1" s="739"/>
      <c r="I1" s="739"/>
      <c r="J1" s="739"/>
    </row>
    <row r="2" spans="1:12" ht="24.75" customHeight="1" x14ac:dyDescent="0.25">
      <c r="A2" s="740" t="s">
        <v>236</v>
      </c>
      <c r="B2" s="740"/>
      <c r="C2" s="740"/>
      <c r="D2" s="740"/>
      <c r="E2" s="740"/>
      <c r="F2" s="740"/>
      <c r="G2" s="740"/>
      <c r="H2" s="740"/>
      <c r="I2" s="740"/>
      <c r="J2" s="740"/>
    </row>
    <row r="3" spans="1:12" ht="22.5" customHeight="1" x14ac:dyDescent="0.25">
      <c r="A3" s="741" t="s">
        <v>303</v>
      </c>
      <c r="B3" s="741"/>
      <c r="C3" s="741"/>
      <c r="D3" s="741"/>
      <c r="E3" s="741"/>
      <c r="F3" s="741"/>
      <c r="G3" s="741"/>
      <c r="H3" s="741"/>
      <c r="I3" s="741"/>
      <c r="J3" s="741"/>
    </row>
    <row r="4" spans="1:12" x14ac:dyDescent="0.25">
      <c r="A4" s="341"/>
      <c r="B4" s="341"/>
      <c r="C4" s="342"/>
      <c r="D4" s="341"/>
      <c r="E4" s="341"/>
      <c r="F4" s="341"/>
      <c r="G4" s="341"/>
      <c r="H4" s="341"/>
      <c r="I4" s="341"/>
      <c r="J4" s="450"/>
    </row>
    <row r="5" spans="1:12" ht="24.75" customHeight="1" x14ac:dyDescent="0.25">
      <c r="A5" s="728" t="s">
        <v>0</v>
      </c>
      <c r="B5" s="728" t="s">
        <v>1</v>
      </c>
      <c r="C5" s="730" t="s">
        <v>294</v>
      </c>
      <c r="D5" s="732" t="s">
        <v>120</v>
      </c>
      <c r="E5" s="732" t="s">
        <v>296</v>
      </c>
      <c r="F5" s="732" t="s">
        <v>295</v>
      </c>
      <c r="G5" s="732" t="s">
        <v>297</v>
      </c>
      <c r="H5" s="726" t="s">
        <v>292</v>
      </c>
      <c r="I5" s="727"/>
      <c r="J5" s="732" t="s">
        <v>293</v>
      </c>
    </row>
    <row r="6" spans="1:12" ht="31.5" x14ac:dyDescent="0.25">
      <c r="A6" s="729"/>
      <c r="B6" s="729"/>
      <c r="C6" s="731"/>
      <c r="D6" s="733"/>
      <c r="E6" s="733"/>
      <c r="F6" s="733"/>
      <c r="G6" s="733"/>
      <c r="H6" s="587" t="s">
        <v>290</v>
      </c>
      <c r="I6" s="587" t="s">
        <v>291</v>
      </c>
      <c r="J6" s="733"/>
    </row>
    <row r="7" spans="1:12" x14ac:dyDescent="0.25">
      <c r="A7" s="526" t="s">
        <v>266</v>
      </c>
      <c r="B7" s="527" t="s">
        <v>192</v>
      </c>
      <c r="C7" s="389"/>
      <c r="D7" s="136"/>
      <c r="E7" s="136"/>
      <c r="F7" s="136"/>
      <c r="G7" s="136"/>
      <c r="H7" s="136"/>
      <c r="I7" s="136"/>
      <c r="J7" s="136"/>
      <c r="K7" s="724"/>
      <c r="L7" s="725"/>
    </row>
    <row r="8" spans="1:12" ht="36" customHeight="1" x14ac:dyDescent="0.25">
      <c r="A8" s="420">
        <v>1</v>
      </c>
      <c r="B8" s="528" t="s">
        <v>193</v>
      </c>
      <c r="C8" s="389"/>
      <c r="D8" s="136"/>
      <c r="E8" s="136"/>
      <c r="F8" s="136"/>
      <c r="G8" s="136"/>
      <c r="H8" s="136"/>
      <c r="I8" s="136"/>
      <c r="J8" s="136"/>
      <c r="K8" s="521"/>
      <c r="L8" s="520"/>
    </row>
    <row r="9" spans="1:12" ht="51" customHeight="1" x14ac:dyDescent="0.25">
      <c r="A9" s="735" t="s">
        <v>194</v>
      </c>
      <c r="B9" s="600" t="s">
        <v>39</v>
      </c>
      <c r="C9" s="422"/>
      <c r="D9" s="423"/>
      <c r="E9" s="423"/>
      <c r="F9" s="423"/>
      <c r="G9" s="423"/>
      <c r="H9" s="423"/>
      <c r="I9" s="423"/>
      <c r="J9" s="423"/>
      <c r="K9" s="391"/>
      <c r="L9" s="391"/>
    </row>
    <row r="10" spans="1:12" ht="22.15" customHeight="1" x14ac:dyDescent="0.25">
      <c r="A10" s="736"/>
      <c r="B10" s="601" t="s">
        <v>154</v>
      </c>
      <c r="C10" s="351">
        <f>CP!H7</f>
        <v>1138860</v>
      </c>
      <c r="D10" s="352">
        <f>CP!H8</f>
        <v>137682</v>
      </c>
      <c r="E10" s="609">
        <f>NC_VT!H13</f>
        <v>0</v>
      </c>
      <c r="F10" s="609">
        <v>0</v>
      </c>
      <c r="G10" s="353">
        <f t="shared" ref="G10:G21" si="0">SUM(C10:F10)</f>
        <v>1276542</v>
      </c>
      <c r="H10" s="353"/>
      <c r="I10" s="602">
        <f t="shared" ref="I10:I17" si="1">ROUND(G10*20%,0)</f>
        <v>255308</v>
      </c>
      <c r="J10" s="353">
        <f>G10+H10+I10</f>
        <v>1531850</v>
      </c>
      <c r="K10" s="386"/>
      <c r="L10" s="386"/>
    </row>
    <row r="11" spans="1:12" ht="22.15" customHeight="1" x14ac:dyDescent="0.25">
      <c r="A11" s="736"/>
      <c r="B11" s="601" t="s">
        <v>155</v>
      </c>
      <c r="C11" s="351">
        <f>C10</f>
        <v>1138860</v>
      </c>
      <c r="D11" s="352">
        <f>CP!H8</f>
        <v>137682</v>
      </c>
      <c r="E11" s="352">
        <f>CP!H14</f>
        <v>45220</v>
      </c>
      <c r="F11" s="352">
        <f>NC_VT!H24</f>
        <v>320000</v>
      </c>
      <c r="G11" s="353">
        <f t="shared" si="0"/>
        <v>1641762</v>
      </c>
      <c r="H11" s="353"/>
      <c r="I11" s="602">
        <f t="shared" si="1"/>
        <v>328352</v>
      </c>
      <c r="J11" s="353">
        <f t="shared" ref="J11:J16" si="2">G11+H11+I11</f>
        <v>1970114</v>
      </c>
    </row>
    <row r="12" spans="1:12" ht="22.15" customHeight="1" x14ac:dyDescent="0.25">
      <c r="A12" s="736"/>
      <c r="B12" s="601" t="s">
        <v>156</v>
      </c>
      <c r="C12" s="351">
        <f>C10</f>
        <v>1138860</v>
      </c>
      <c r="D12" s="352">
        <f>CP!H8</f>
        <v>137682</v>
      </c>
      <c r="E12" s="352">
        <f>CP!H15</f>
        <v>67830</v>
      </c>
      <c r="F12" s="352">
        <f>NC_VT!H24</f>
        <v>320000</v>
      </c>
      <c r="G12" s="353">
        <f t="shared" si="0"/>
        <v>1664372</v>
      </c>
      <c r="H12" s="353"/>
      <c r="I12" s="602">
        <f t="shared" si="1"/>
        <v>332874</v>
      </c>
      <c r="J12" s="353">
        <f t="shared" si="2"/>
        <v>1997246</v>
      </c>
    </row>
    <row r="13" spans="1:12" x14ac:dyDescent="0.25">
      <c r="A13" s="736"/>
      <c r="B13" s="601" t="s">
        <v>267</v>
      </c>
      <c r="C13" s="351">
        <f>C10</f>
        <v>1138860</v>
      </c>
      <c r="D13" s="352">
        <f>CP!H8</f>
        <v>137682</v>
      </c>
      <c r="E13" s="352">
        <f>CP!H16</f>
        <v>90440</v>
      </c>
      <c r="F13" s="352">
        <f>NC_VT!H24</f>
        <v>320000</v>
      </c>
      <c r="G13" s="353">
        <f t="shared" si="0"/>
        <v>1686982</v>
      </c>
      <c r="H13" s="353"/>
      <c r="I13" s="353">
        <f t="shared" si="1"/>
        <v>337396</v>
      </c>
      <c r="J13" s="353">
        <f t="shared" si="2"/>
        <v>2024378</v>
      </c>
    </row>
    <row r="14" spans="1:12" ht="22.15" customHeight="1" x14ac:dyDescent="0.25">
      <c r="A14" s="736"/>
      <c r="B14" s="601" t="s">
        <v>164</v>
      </c>
      <c r="C14" s="351">
        <f>C10</f>
        <v>1138860</v>
      </c>
      <c r="D14" s="352">
        <f>CP!H8</f>
        <v>137682</v>
      </c>
      <c r="E14" s="352">
        <f>CP!H17</f>
        <v>113050</v>
      </c>
      <c r="F14" s="352">
        <f>NC_VT!H24</f>
        <v>320000</v>
      </c>
      <c r="G14" s="353">
        <f t="shared" si="0"/>
        <v>1709592</v>
      </c>
      <c r="H14" s="353"/>
      <c r="I14" s="602">
        <f t="shared" si="1"/>
        <v>341918</v>
      </c>
      <c r="J14" s="353">
        <f t="shared" si="2"/>
        <v>2051510</v>
      </c>
    </row>
    <row r="15" spans="1:12" ht="22.15" customHeight="1" x14ac:dyDescent="0.25">
      <c r="A15" s="736"/>
      <c r="B15" s="601" t="s">
        <v>160</v>
      </c>
      <c r="C15" s="351">
        <f>C10</f>
        <v>1138860</v>
      </c>
      <c r="D15" s="352">
        <f>CP!H8</f>
        <v>137682</v>
      </c>
      <c r="E15" s="352">
        <f>CP!H18</f>
        <v>135660</v>
      </c>
      <c r="F15" s="351">
        <f>NC_VT!H23</f>
        <v>400000</v>
      </c>
      <c r="G15" s="353">
        <f t="shared" si="0"/>
        <v>1812202</v>
      </c>
      <c r="H15" s="353"/>
      <c r="I15" s="602">
        <f t="shared" si="1"/>
        <v>362440</v>
      </c>
      <c r="J15" s="353">
        <f t="shared" si="2"/>
        <v>2174642</v>
      </c>
    </row>
    <row r="16" spans="1:12" ht="22.15" customHeight="1" x14ac:dyDescent="0.25">
      <c r="A16" s="736"/>
      <c r="B16" s="601" t="s">
        <v>163</v>
      </c>
      <c r="C16" s="351">
        <f>C10</f>
        <v>1138860</v>
      </c>
      <c r="D16" s="352">
        <f>CP!H8</f>
        <v>137682</v>
      </c>
      <c r="E16" s="352">
        <f>CP!H19</f>
        <v>158270</v>
      </c>
      <c r="F16" s="352">
        <f>NC_VT!H23</f>
        <v>400000</v>
      </c>
      <c r="G16" s="353">
        <f t="shared" si="0"/>
        <v>1834812</v>
      </c>
      <c r="H16" s="353"/>
      <c r="I16" s="602">
        <f t="shared" si="1"/>
        <v>366962</v>
      </c>
      <c r="J16" s="353">
        <f t="shared" si="2"/>
        <v>2201774</v>
      </c>
    </row>
    <row r="17" spans="1:13" ht="22.15" customHeight="1" x14ac:dyDescent="0.25">
      <c r="A17" s="737"/>
      <c r="B17" s="603" t="s">
        <v>162</v>
      </c>
      <c r="C17" s="357">
        <f>C10</f>
        <v>1138860</v>
      </c>
      <c r="D17" s="358">
        <f>CP!H8</f>
        <v>137682</v>
      </c>
      <c r="E17" s="358">
        <f>CP!H20</f>
        <v>180880</v>
      </c>
      <c r="F17" s="358">
        <f>NC_VT!H23</f>
        <v>400000</v>
      </c>
      <c r="G17" s="359">
        <f t="shared" si="0"/>
        <v>1857422</v>
      </c>
      <c r="H17" s="359"/>
      <c r="I17" s="604">
        <f t="shared" si="1"/>
        <v>371484</v>
      </c>
      <c r="J17" s="353">
        <f t="shared" ref="J17" si="3">G17+H17+I17</f>
        <v>2228906</v>
      </c>
    </row>
    <row r="18" spans="1:13" ht="36" customHeight="1" x14ac:dyDescent="0.25">
      <c r="A18" s="607" t="s">
        <v>195</v>
      </c>
      <c r="B18" s="528" t="s">
        <v>40</v>
      </c>
      <c r="C18" s="363">
        <f>CP!H24</f>
        <v>3416580</v>
      </c>
      <c r="D18" s="362">
        <f>CP!H25</f>
        <v>95318</v>
      </c>
      <c r="E18" s="362"/>
      <c r="F18" s="362"/>
      <c r="G18" s="362">
        <f>SUM(C18:F18)</f>
        <v>3511898</v>
      </c>
      <c r="H18" s="362">
        <f>ROUND(G18*15%,0)</f>
        <v>526785</v>
      </c>
      <c r="I18" s="362"/>
      <c r="J18" s="362">
        <f>G18+H18+I18</f>
        <v>4038683</v>
      </c>
    </row>
    <row r="19" spans="1:13" ht="33.75" customHeight="1" x14ac:dyDescent="0.25">
      <c r="A19" s="607" t="s">
        <v>196</v>
      </c>
      <c r="B19" s="528" t="s">
        <v>41</v>
      </c>
      <c r="C19" s="363">
        <f>CP!H30</f>
        <v>5124870</v>
      </c>
      <c r="D19" s="362">
        <f>CP!H31</f>
        <v>66489</v>
      </c>
      <c r="E19" s="362"/>
      <c r="F19" s="362"/>
      <c r="G19" s="362">
        <f t="shared" si="0"/>
        <v>5191359</v>
      </c>
      <c r="H19" s="362">
        <f>ROUND(G19*15%,0)</f>
        <v>778704</v>
      </c>
      <c r="I19" s="362"/>
      <c r="J19" s="362">
        <f>G19+H19+I19</f>
        <v>5970063</v>
      </c>
    </row>
    <row r="20" spans="1:13" ht="25.9" customHeight="1" x14ac:dyDescent="0.25">
      <c r="A20" s="532" t="s">
        <v>197</v>
      </c>
      <c r="B20" s="528" t="s">
        <v>42</v>
      </c>
      <c r="C20" s="363">
        <f>CP!H36</f>
        <v>3416580</v>
      </c>
      <c r="D20" s="362">
        <f>CP!H37</f>
        <v>37091</v>
      </c>
      <c r="E20" s="362"/>
      <c r="F20" s="362"/>
      <c r="G20" s="362">
        <f>SUM(C20:F20)</f>
        <v>3453671</v>
      </c>
      <c r="H20" s="362">
        <f>ROUND(G20*15%,0)</f>
        <v>518051</v>
      </c>
      <c r="I20" s="362"/>
      <c r="J20" s="362">
        <f>G20+H20+I20</f>
        <v>3971722</v>
      </c>
    </row>
    <row r="21" spans="1:13" ht="35.25" customHeight="1" x14ac:dyDescent="0.25">
      <c r="A21" s="532">
        <v>2</v>
      </c>
      <c r="B21" s="528" t="s">
        <v>43</v>
      </c>
      <c r="C21" s="363">
        <f>CP!H40</f>
        <v>569430</v>
      </c>
      <c r="D21" s="362">
        <f>CP!H41</f>
        <v>28637</v>
      </c>
      <c r="E21" s="362"/>
      <c r="F21" s="362"/>
      <c r="G21" s="362">
        <f t="shared" si="0"/>
        <v>598067</v>
      </c>
      <c r="H21" s="362">
        <f>ROUND(G21*15%,0)</f>
        <v>89710</v>
      </c>
      <c r="I21" s="362"/>
      <c r="J21" s="362">
        <f>G21+H21+I21</f>
        <v>687777</v>
      </c>
    </row>
    <row r="22" spans="1:13" ht="21.95" customHeight="1" x14ac:dyDescent="0.25">
      <c r="A22" s="533" t="s">
        <v>266</v>
      </c>
      <c r="B22" s="534" t="s">
        <v>199</v>
      </c>
      <c r="C22" s="363"/>
      <c r="D22" s="363"/>
      <c r="E22" s="362"/>
      <c r="F22" s="362"/>
      <c r="G22" s="362"/>
      <c r="H22" s="362"/>
      <c r="I22" s="362"/>
      <c r="J22" s="362"/>
    </row>
    <row r="23" spans="1:13" ht="21.95" customHeight="1" x14ac:dyDescent="0.25">
      <c r="A23" s="533"/>
      <c r="B23" s="555" t="s">
        <v>146</v>
      </c>
      <c r="C23" s="363"/>
      <c r="D23" s="363"/>
      <c r="E23" s="362"/>
      <c r="F23" s="362"/>
      <c r="G23" s="362"/>
      <c r="H23" s="362"/>
      <c r="I23" s="362"/>
      <c r="J23" s="362"/>
    </row>
    <row r="24" spans="1:13" ht="19.899999999999999" customHeight="1" x14ac:dyDescent="0.25">
      <c r="A24" s="606">
        <v>3</v>
      </c>
      <c r="B24" s="528" t="s">
        <v>72</v>
      </c>
      <c r="C24" s="363"/>
      <c r="D24" s="363"/>
      <c r="E24" s="362"/>
      <c r="F24" s="362"/>
      <c r="G24" s="362"/>
      <c r="H24" s="362"/>
      <c r="I24" s="362"/>
      <c r="J24" s="362"/>
      <c r="M24" s="391"/>
    </row>
    <row r="25" spans="1:13" ht="49.5" x14ac:dyDescent="0.25">
      <c r="A25" s="606" t="s">
        <v>268</v>
      </c>
      <c r="B25" s="528" t="str">
        <f>CP!B47</f>
        <v>Chuẩn bị hồ sơ của các thửa đất đấu giá, gửi đến cơ quan tài nguyên và môi trường thẩm định</v>
      </c>
      <c r="C25" s="363">
        <f>CP!H47</f>
        <v>2706075</v>
      </c>
      <c r="D25" s="362">
        <f>CP!H48</f>
        <v>65909</v>
      </c>
      <c r="E25" s="364"/>
      <c r="F25" s="364"/>
      <c r="G25" s="362">
        <f>SUM(C25:F25)</f>
        <v>2771984</v>
      </c>
      <c r="H25" s="362">
        <f>ROUND(G25*15%,0)</f>
        <v>415798</v>
      </c>
      <c r="I25" s="362"/>
      <c r="J25" s="362">
        <f>G25+H25+I25</f>
        <v>3187782</v>
      </c>
    </row>
    <row r="26" spans="1:13" ht="53.25" customHeight="1" x14ac:dyDescent="0.25">
      <c r="A26" s="606" t="s">
        <v>269</v>
      </c>
      <c r="B26" s="528" t="str">
        <f>CP!B52</f>
        <v>Đơn vị được giao tổ chức đấu giá quyền sử dụng đất trình cấp thẩm quyền quyết định đưa thửa đất ra đấu giá</v>
      </c>
      <c r="C26" s="363">
        <f>CP!H52</f>
        <v>569430</v>
      </c>
      <c r="D26" s="362">
        <f>CP!H53</f>
        <v>17727</v>
      </c>
      <c r="E26" s="364"/>
      <c r="F26" s="364"/>
      <c r="G26" s="362">
        <f>SUM(C26:F26)</f>
        <v>587157</v>
      </c>
      <c r="H26" s="362">
        <f>ROUND(G26*15%,0)</f>
        <v>88074</v>
      </c>
      <c r="I26" s="362"/>
      <c r="J26" s="362">
        <f>G26+H26+I26</f>
        <v>675231</v>
      </c>
    </row>
    <row r="27" spans="1:13" ht="53.25" customHeight="1" x14ac:dyDescent="0.25">
      <c r="A27" s="606">
        <v>4</v>
      </c>
      <c r="B27" s="528" t="str">
        <f>CP!B56</f>
        <v>Tổ chức thực hiện xác định giá khởi điểm trình cấp có thẩm quyền phê duyệt giá khởi điểm của thửa đất đấu giá</v>
      </c>
      <c r="C27" s="363">
        <f>CP!H56</f>
        <v>569430</v>
      </c>
      <c r="D27" s="362">
        <f>CP!H57</f>
        <v>17727</v>
      </c>
      <c r="E27" s="364"/>
      <c r="F27" s="364"/>
      <c r="G27" s="362">
        <f t="shared" ref="G27:G35" si="4">SUM(C27:F27)</f>
        <v>587157</v>
      </c>
      <c r="H27" s="362">
        <f>ROUND(G27*15%,0)</f>
        <v>88074</v>
      </c>
      <c r="I27" s="362"/>
      <c r="J27" s="362">
        <f t="shared" ref="J27:J35" si="5">G27+H27+I27</f>
        <v>675231</v>
      </c>
    </row>
    <row r="28" spans="1:13" ht="49.5" customHeight="1" x14ac:dyDescent="0.25">
      <c r="A28" s="606">
        <v>5</v>
      </c>
      <c r="B28" s="537" t="str">
        <f>CP!B60</f>
        <v>Báo cáo cấp thẩm quyền quyết định bước giá để tổ chức đấu giá quyền sử dụng đất theo quy định</v>
      </c>
      <c r="C28" s="363">
        <f>CP!H60</f>
        <v>2277720</v>
      </c>
      <c r="D28" s="362">
        <f>CP!H61</f>
        <v>47273</v>
      </c>
      <c r="E28" s="364"/>
      <c r="F28" s="364"/>
      <c r="G28" s="362">
        <f t="shared" si="4"/>
        <v>2324993</v>
      </c>
      <c r="H28" s="362">
        <f>ROUND(G28*15%,0)</f>
        <v>348749</v>
      </c>
      <c r="I28" s="362"/>
      <c r="J28" s="362">
        <f t="shared" si="5"/>
        <v>2673742</v>
      </c>
    </row>
    <row r="29" spans="1:13" ht="50.45" customHeight="1" x14ac:dyDescent="0.25">
      <c r="A29" s="606">
        <v>6</v>
      </c>
      <c r="B29" s="339" t="str">
        <f>CP!B65</f>
        <v>Lựa chọn tổ chức đấu giá tài sản theo Thông tư số 02/2022/TT-BTP ngày 08/02/2022 của Bộ trưởng Bộ Tư pháp</v>
      </c>
      <c r="C29" s="363"/>
      <c r="D29" s="364"/>
      <c r="E29" s="364"/>
      <c r="F29" s="364"/>
      <c r="G29" s="362"/>
      <c r="H29" s="362"/>
      <c r="I29" s="362"/>
      <c r="J29" s="362"/>
    </row>
    <row r="30" spans="1:13" ht="51.75" customHeight="1" x14ac:dyDescent="0.25">
      <c r="A30" s="606" t="s">
        <v>270</v>
      </c>
      <c r="B30" s="528" t="s">
        <v>50</v>
      </c>
      <c r="C30" s="363">
        <f>CP!H66</f>
        <v>5124870</v>
      </c>
      <c r="D30" s="362">
        <f>CP!H67</f>
        <v>76818</v>
      </c>
      <c r="E30" s="364"/>
      <c r="F30" s="364"/>
      <c r="G30" s="362">
        <f t="shared" si="4"/>
        <v>5201688</v>
      </c>
      <c r="H30" s="362">
        <f t="shared" ref="H30:H35" si="6">ROUND(G30*15%,0)</f>
        <v>780253</v>
      </c>
      <c r="I30" s="362"/>
      <c r="J30" s="362">
        <f t="shared" si="5"/>
        <v>5981941</v>
      </c>
    </row>
    <row r="31" spans="1:13" ht="36" customHeight="1" x14ac:dyDescent="0.25">
      <c r="A31" s="606" t="s">
        <v>271</v>
      </c>
      <c r="B31" s="538" t="s">
        <v>51</v>
      </c>
      <c r="C31" s="363">
        <f>CP!H71</f>
        <v>3416580</v>
      </c>
      <c r="D31" s="362">
        <f>CP!H72</f>
        <v>94545</v>
      </c>
      <c r="E31" s="364"/>
      <c r="F31" s="364"/>
      <c r="G31" s="362">
        <f t="shared" si="4"/>
        <v>3511125</v>
      </c>
      <c r="H31" s="362">
        <f t="shared" si="6"/>
        <v>526669</v>
      </c>
      <c r="I31" s="362"/>
      <c r="J31" s="362">
        <f t="shared" si="5"/>
        <v>4037794</v>
      </c>
    </row>
    <row r="32" spans="1:13" ht="33" x14ac:dyDescent="0.25">
      <c r="A32" s="606" t="s">
        <v>272</v>
      </c>
      <c r="B32" s="528" t="s">
        <v>52</v>
      </c>
      <c r="C32" s="363">
        <f>CP!H76</f>
        <v>597645</v>
      </c>
      <c r="D32" s="362">
        <f>CP!H77</f>
        <v>27000</v>
      </c>
      <c r="E32" s="364"/>
      <c r="F32" s="364"/>
      <c r="G32" s="362">
        <f t="shared" si="4"/>
        <v>624645</v>
      </c>
      <c r="H32" s="362">
        <f t="shared" si="6"/>
        <v>93697</v>
      </c>
      <c r="I32" s="362"/>
      <c r="J32" s="362">
        <f t="shared" si="5"/>
        <v>718342</v>
      </c>
    </row>
    <row r="33" spans="1:12" ht="33" x14ac:dyDescent="0.25">
      <c r="A33" s="606" t="s">
        <v>273</v>
      </c>
      <c r="B33" s="528" t="s">
        <v>53</v>
      </c>
      <c r="C33" s="363">
        <f>CP!H80</f>
        <v>1764720</v>
      </c>
      <c r="D33" s="362">
        <f>CP!H81</f>
        <v>58000</v>
      </c>
      <c r="E33" s="364"/>
      <c r="F33" s="364"/>
      <c r="G33" s="362">
        <f t="shared" si="4"/>
        <v>1822720</v>
      </c>
      <c r="H33" s="362">
        <f t="shared" si="6"/>
        <v>273408</v>
      </c>
      <c r="I33" s="362"/>
      <c r="J33" s="362">
        <f t="shared" si="5"/>
        <v>2096128</v>
      </c>
    </row>
    <row r="34" spans="1:12" ht="102" customHeight="1" x14ac:dyDescent="0.25">
      <c r="A34" s="606">
        <v>7</v>
      </c>
      <c r="B34" s="528" t="str">
        <f>CP!B85</f>
        <v>Phối hợp đơn vị thực hiện cuộc bán đấu giá tổ chức thông báo về việc bán đấu giá tài sản; Ban hành Quy chế cuộc bán đấu giá; Thực hiện việc niêm yết đấu giá tài sản và đăng tải thông tin về việc đấu giá tài sản theo quy định</v>
      </c>
      <c r="C34" s="363">
        <f>CP!H85</f>
        <v>3416580</v>
      </c>
      <c r="D34" s="362">
        <f>CP!H86</f>
        <v>47727</v>
      </c>
      <c r="E34" s="364"/>
      <c r="F34" s="364"/>
      <c r="G34" s="362">
        <f t="shared" si="4"/>
        <v>3464307</v>
      </c>
      <c r="H34" s="362">
        <f t="shared" si="6"/>
        <v>519646</v>
      </c>
      <c r="I34" s="362"/>
      <c r="J34" s="362">
        <f t="shared" si="5"/>
        <v>3983953</v>
      </c>
    </row>
    <row r="35" spans="1:12" ht="20.25" customHeight="1" x14ac:dyDescent="0.25">
      <c r="A35" s="606">
        <v>8</v>
      </c>
      <c r="B35" s="528" t="s">
        <v>67</v>
      </c>
      <c r="C35" s="363">
        <f>CP!H90</f>
        <v>4555440</v>
      </c>
      <c r="D35" s="362">
        <f>CP!H91</f>
        <v>56545</v>
      </c>
      <c r="E35" s="364"/>
      <c r="F35" s="364"/>
      <c r="G35" s="362">
        <f t="shared" si="4"/>
        <v>4611985</v>
      </c>
      <c r="H35" s="362">
        <f t="shared" si="6"/>
        <v>691798</v>
      </c>
      <c r="I35" s="362"/>
      <c r="J35" s="362">
        <f t="shared" si="5"/>
        <v>5303783</v>
      </c>
    </row>
    <row r="36" spans="1:12" ht="33" x14ac:dyDescent="0.25">
      <c r="A36" s="738">
        <v>9</v>
      </c>
      <c r="B36" s="588" t="s">
        <v>133</v>
      </c>
      <c r="C36" s="589"/>
      <c r="D36" s="590"/>
      <c r="E36" s="590"/>
      <c r="F36" s="590"/>
      <c r="G36" s="591"/>
      <c r="H36" s="591"/>
      <c r="I36" s="591"/>
      <c r="J36" s="434"/>
    </row>
    <row r="37" spans="1:12" ht="22.15" customHeight="1" x14ac:dyDescent="0.25">
      <c r="A37" s="738"/>
      <c r="B37" s="601" t="s">
        <v>154</v>
      </c>
      <c r="C37" s="592">
        <f>CP!H95</f>
        <v>597645</v>
      </c>
      <c r="D37" s="593"/>
      <c r="E37" s="610">
        <v>0</v>
      </c>
      <c r="F37" s="610">
        <v>0</v>
      </c>
      <c r="G37" s="353">
        <f t="shared" ref="G37:G47" si="7">SUM(C37:F37)</f>
        <v>597645</v>
      </c>
      <c r="H37" s="353"/>
      <c r="I37" s="602">
        <f>ROUND(G37*20%,0)</f>
        <v>119529</v>
      </c>
      <c r="J37" s="353">
        <f>G37+H37+I37</f>
        <v>717174</v>
      </c>
    </row>
    <row r="38" spans="1:12" ht="22.15" customHeight="1" x14ac:dyDescent="0.25">
      <c r="A38" s="738"/>
      <c r="B38" s="601" t="s">
        <v>155</v>
      </c>
      <c r="C38" s="592">
        <f>C37</f>
        <v>597645</v>
      </c>
      <c r="D38" s="593"/>
      <c r="E38" s="353">
        <f>CP!H98</f>
        <v>45220</v>
      </c>
      <c r="F38" s="353">
        <f>CP!H107</f>
        <v>160000</v>
      </c>
      <c r="G38" s="353">
        <f t="shared" si="7"/>
        <v>802865</v>
      </c>
      <c r="H38" s="353"/>
      <c r="I38" s="602">
        <f t="shared" ref="I38:I44" si="8">ROUND(G38*20%,0)</f>
        <v>160573</v>
      </c>
      <c r="J38" s="353">
        <f>G38+H38+I38</f>
        <v>963438</v>
      </c>
    </row>
    <row r="39" spans="1:12" ht="22.15" customHeight="1" x14ac:dyDescent="0.25">
      <c r="A39" s="738"/>
      <c r="B39" s="601" t="s">
        <v>156</v>
      </c>
      <c r="C39" s="592">
        <f>C37</f>
        <v>597645</v>
      </c>
      <c r="D39" s="593"/>
      <c r="E39" s="353">
        <f>CP!H99</f>
        <v>67830</v>
      </c>
      <c r="F39" s="353">
        <f>CP!H107</f>
        <v>160000</v>
      </c>
      <c r="G39" s="353">
        <f t="shared" si="7"/>
        <v>825475</v>
      </c>
      <c r="H39" s="353"/>
      <c r="I39" s="602">
        <f t="shared" si="8"/>
        <v>165095</v>
      </c>
      <c r="J39" s="353">
        <f t="shared" ref="J39:J44" si="9">G39+H39+I39</f>
        <v>990570</v>
      </c>
    </row>
    <row r="40" spans="1:12" x14ac:dyDescent="0.25">
      <c r="A40" s="738"/>
      <c r="B40" s="601" t="s">
        <v>267</v>
      </c>
      <c r="C40" s="592">
        <f>C37</f>
        <v>597645</v>
      </c>
      <c r="D40" s="593"/>
      <c r="E40" s="353">
        <f>CP!H100</f>
        <v>90440</v>
      </c>
      <c r="F40" s="353">
        <f>CP!H107</f>
        <v>160000</v>
      </c>
      <c r="G40" s="353">
        <f t="shared" si="7"/>
        <v>848085</v>
      </c>
      <c r="H40" s="353"/>
      <c r="I40" s="353">
        <f t="shared" si="8"/>
        <v>169617</v>
      </c>
      <c r="J40" s="353">
        <f t="shared" si="9"/>
        <v>1017702</v>
      </c>
    </row>
    <row r="41" spans="1:12" ht="22.15" customHeight="1" x14ac:dyDescent="0.25">
      <c r="A41" s="738"/>
      <c r="B41" s="601" t="s">
        <v>164</v>
      </c>
      <c r="C41" s="592">
        <f>C37</f>
        <v>597645</v>
      </c>
      <c r="D41" s="593"/>
      <c r="E41" s="353">
        <f>CP!H101</f>
        <v>113050</v>
      </c>
      <c r="F41" s="353">
        <f>CP!H107</f>
        <v>160000</v>
      </c>
      <c r="G41" s="353">
        <f t="shared" si="7"/>
        <v>870695</v>
      </c>
      <c r="H41" s="353"/>
      <c r="I41" s="602">
        <f t="shared" si="8"/>
        <v>174139</v>
      </c>
      <c r="J41" s="353">
        <f t="shared" si="9"/>
        <v>1044834</v>
      </c>
    </row>
    <row r="42" spans="1:12" ht="22.15" customHeight="1" x14ac:dyDescent="0.25">
      <c r="A42" s="738"/>
      <c r="B42" s="601" t="s">
        <v>160</v>
      </c>
      <c r="C42" s="592">
        <f>C37</f>
        <v>597645</v>
      </c>
      <c r="D42" s="593"/>
      <c r="E42" s="353">
        <f>CP!H102</f>
        <v>135660</v>
      </c>
      <c r="F42" s="353">
        <f>CP!H106</f>
        <v>200000</v>
      </c>
      <c r="G42" s="353">
        <f t="shared" si="7"/>
        <v>933305</v>
      </c>
      <c r="H42" s="353"/>
      <c r="I42" s="602">
        <f t="shared" si="8"/>
        <v>186661</v>
      </c>
      <c r="J42" s="353">
        <f t="shared" si="9"/>
        <v>1119966</v>
      </c>
    </row>
    <row r="43" spans="1:12" ht="22.15" customHeight="1" x14ac:dyDescent="0.25">
      <c r="A43" s="738"/>
      <c r="B43" s="601" t="s">
        <v>163</v>
      </c>
      <c r="C43" s="592">
        <f>C37</f>
        <v>597645</v>
      </c>
      <c r="D43" s="593"/>
      <c r="E43" s="353">
        <f>CP!H103</f>
        <v>158270</v>
      </c>
      <c r="F43" s="353">
        <f>CP!H106</f>
        <v>200000</v>
      </c>
      <c r="G43" s="353">
        <f t="shared" si="7"/>
        <v>955915</v>
      </c>
      <c r="H43" s="353"/>
      <c r="I43" s="602">
        <f t="shared" si="8"/>
        <v>191183</v>
      </c>
      <c r="J43" s="353">
        <f t="shared" si="9"/>
        <v>1147098</v>
      </c>
    </row>
    <row r="44" spans="1:12" ht="22.15" customHeight="1" x14ac:dyDescent="0.25">
      <c r="A44" s="738"/>
      <c r="B44" s="603" t="s">
        <v>162</v>
      </c>
      <c r="C44" s="594">
        <f>C37</f>
        <v>597645</v>
      </c>
      <c r="D44" s="595"/>
      <c r="E44" s="359">
        <f>CP!H104</f>
        <v>180880</v>
      </c>
      <c r="F44" s="359">
        <f>CP!H106</f>
        <v>200000</v>
      </c>
      <c r="G44" s="359">
        <f t="shared" si="7"/>
        <v>978525</v>
      </c>
      <c r="H44" s="359"/>
      <c r="I44" s="604">
        <f t="shared" si="8"/>
        <v>195705</v>
      </c>
      <c r="J44" s="353">
        <f t="shared" si="9"/>
        <v>1174230</v>
      </c>
    </row>
    <row r="45" spans="1:12" ht="33" x14ac:dyDescent="0.25">
      <c r="A45" s="542">
        <v>10</v>
      </c>
      <c r="B45" s="339" t="str">
        <f>CP!B108</f>
        <v>Báo cáo về kết quả thực hiện đấu giá quyền sử dụng đất</v>
      </c>
      <c r="C45" s="363">
        <f>CP!H108</f>
        <v>1138860</v>
      </c>
      <c r="D45" s="362">
        <f>CP!H109</f>
        <v>28637</v>
      </c>
      <c r="E45" s="364"/>
      <c r="F45" s="364"/>
      <c r="G45" s="362">
        <f t="shared" si="7"/>
        <v>1167497</v>
      </c>
      <c r="H45" s="362">
        <f>ROUND(G45*15%,0)</f>
        <v>175125</v>
      </c>
      <c r="I45" s="362"/>
      <c r="J45" s="362">
        <f>G45+H45+I45</f>
        <v>1342622</v>
      </c>
    </row>
    <row r="46" spans="1:12" ht="49.5" x14ac:dyDescent="0.25">
      <c r="A46" s="542">
        <v>11</v>
      </c>
      <c r="B46" s="339" t="str">
        <f>CP!B112</f>
        <v>Tổ chức ký hợp đồng giữa chủ tài sản và người trúng đấu giá (theo Điều 46 Luật Đấu giá tài sản 2016)</v>
      </c>
      <c r="C46" s="363">
        <f>CP!H112</f>
        <v>1708290</v>
      </c>
      <c r="D46" s="362">
        <f>CP!H113</f>
        <v>51000</v>
      </c>
      <c r="E46" s="364"/>
      <c r="F46" s="364"/>
      <c r="G46" s="362">
        <f t="shared" si="7"/>
        <v>1759290</v>
      </c>
      <c r="H46" s="362">
        <f>ROUND(G46*15%,0)</f>
        <v>263894</v>
      </c>
      <c r="I46" s="362"/>
      <c r="J46" s="362">
        <f>G46+H46+I46</f>
        <v>2023184</v>
      </c>
    </row>
    <row r="47" spans="1:12" ht="35.450000000000003" customHeight="1" x14ac:dyDescent="0.25">
      <c r="A47" s="606">
        <v>12</v>
      </c>
      <c r="B47" s="528" t="s">
        <v>74</v>
      </c>
      <c r="C47" s="363">
        <f>CP!H116</f>
        <v>1195290</v>
      </c>
      <c r="D47" s="362">
        <f>CP!H117</f>
        <v>27000</v>
      </c>
      <c r="E47" s="364"/>
      <c r="F47" s="364"/>
      <c r="G47" s="362">
        <f t="shared" si="7"/>
        <v>1222290</v>
      </c>
      <c r="H47" s="362">
        <f>ROUND(G47*15%,0)</f>
        <v>183344</v>
      </c>
      <c r="I47" s="362"/>
      <c r="J47" s="362">
        <f>G47+H47+I47</f>
        <v>1405634</v>
      </c>
    </row>
    <row r="48" spans="1:12" ht="19.5" customHeight="1" x14ac:dyDescent="0.25">
      <c r="A48" s="533"/>
      <c r="B48" s="555" t="s">
        <v>203</v>
      </c>
      <c r="C48" s="367"/>
      <c r="D48" s="365"/>
      <c r="E48" s="365"/>
      <c r="F48" s="365"/>
      <c r="G48" s="365"/>
      <c r="H48" s="365"/>
      <c r="I48" s="365"/>
      <c r="J48" s="362"/>
      <c r="K48" s="554"/>
      <c r="L48" s="554"/>
    </row>
    <row r="49" spans="1:12" ht="19.149999999999999" customHeight="1" x14ac:dyDescent="0.25">
      <c r="A49" s="606">
        <v>13</v>
      </c>
      <c r="B49" s="528" t="s">
        <v>72</v>
      </c>
      <c r="C49" s="363"/>
      <c r="D49" s="363"/>
      <c r="E49" s="362"/>
      <c r="F49" s="362"/>
      <c r="G49" s="362"/>
      <c r="H49" s="362"/>
      <c r="I49" s="362"/>
      <c r="J49" s="362"/>
      <c r="K49" s="391"/>
      <c r="L49" s="391"/>
    </row>
    <row r="50" spans="1:12" ht="49.5" x14ac:dyDescent="0.25">
      <c r="A50" s="606" t="s">
        <v>277</v>
      </c>
      <c r="B50" s="528" t="s">
        <v>214</v>
      </c>
      <c r="C50" s="363">
        <f>CP!H122</f>
        <v>2706075</v>
      </c>
      <c r="D50" s="362">
        <f>CP!H123</f>
        <v>65909</v>
      </c>
      <c r="E50" s="364"/>
      <c r="F50" s="364"/>
      <c r="G50" s="362">
        <f>SUM(C50:F50)</f>
        <v>2771984</v>
      </c>
      <c r="H50" s="362">
        <f t="shared" ref="H50:H60" si="10">ROUND(G50*15%,0)</f>
        <v>415798</v>
      </c>
      <c r="I50" s="362"/>
      <c r="J50" s="362">
        <f>G50+H50+I50</f>
        <v>3187782</v>
      </c>
      <c r="K50" s="386"/>
      <c r="L50" s="386"/>
    </row>
    <row r="51" spans="1:12" ht="53.25" customHeight="1" x14ac:dyDescent="0.25">
      <c r="A51" s="606" t="s">
        <v>278</v>
      </c>
      <c r="B51" s="528" t="s">
        <v>200</v>
      </c>
      <c r="C51" s="363">
        <f>CP!H127</f>
        <v>569430</v>
      </c>
      <c r="D51" s="362">
        <f>CP!H128</f>
        <v>17727</v>
      </c>
      <c r="E51" s="364"/>
      <c r="F51" s="364"/>
      <c r="G51" s="362">
        <f>SUM(C51:F51)</f>
        <v>587157</v>
      </c>
      <c r="H51" s="362">
        <f t="shared" si="10"/>
        <v>88074</v>
      </c>
      <c r="I51" s="362"/>
      <c r="J51" s="362">
        <f>G51+H51+I51</f>
        <v>675231</v>
      </c>
      <c r="L51" s="386"/>
    </row>
    <row r="52" spans="1:12" ht="51" customHeight="1" x14ac:dyDescent="0.25">
      <c r="A52" s="606">
        <v>14</v>
      </c>
      <c r="B52" s="528" t="s">
        <v>165</v>
      </c>
      <c r="C52" s="363">
        <f>CP!H131</f>
        <v>569430</v>
      </c>
      <c r="D52" s="362">
        <f>CP!H132</f>
        <v>17727</v>
      </c>
      <c r="E52" s="364"/>
      <c r="F52" s="364"/>
      <c r="G52" s="362">
        <f>SUM(C52:F52)</f>
        <v>587157</v>
      </c>
      <c r="H52" s="362">
        <f t="shared" si="10"/>
        <v>88074</v>
      </c>
      <c r="I52" s="362"/>
      <c r="J52" s="362">
        <f>G52+H52+I52</f>
        <v>675231</v>
      </c>
      <c r="L52" s="386"/>
    </row>
    <row r="53" spans="1:12" ht="51.6" customHeight="1" x14ac:dyDescent="0.25">
      <c r="A53" s="606">
        <v>15</v>
      </c>
      <c r="B53" s="528" t="s">
        <v>309</v>
      </c>
      <c r="C53" s="363">
        <f>CP!H135</f>
        <v>2277720</v>
      </c>
      <c r="D53" s="362">
        <f>CP!H136</f>
        <v>47273</v>
      </c>
      <c r="E53" s="364"/>
      <c r="F53" s="364"/>
      <c r="G53" s="362">
        <f>SUM(C53:F53)</f>
        <v>2324993</v>
      </c>
      <c r="H53" s="362">
        <f t="shared" si="10"/>
        <v>348749</v>
      </c>
      <c r="I53" s="362"/>
      <c r="J53" s="362">
        <f>G53+H53+I53</f>
        <v>2673742</v>
      </c>
      <c r="L53" s="386"/>
    </row>
    <row r="54" spans="1:12" ht="52.9" customHeight="1" x14ac:dyDescent="0.25">
      <c r="A54" s="606">
        <v>16</v>
      </c>
      <c r="B54" s="528" t="s">
        <v>213</v>
      </c>
      <c r="C54" s="363"/>
      <c r="D54" s="364"/>
      <c r="E54" s="364"/>
      <c r="F54" s="364"/>
      <c r="G54" s="362"/>
      <c r="H54" s="362"/>
      <c r="I54" s="362"/>
      <c r="J54" s="362"/>
      <c r="L54" s="386"/>
    </row>
    <row r="55" spans="1:12" ht="49.5" x14ac:dyDescent="0.25">
      <c r="A55" s="606" t="s">
        <v>279</v>
      </c>
      <c r="B55" s="528" t="s">
        <v>50</v>
      </c>
      <c r="C55" s="363">
        <f>CP!H141</f>
        <v>5124870</v>
      </c>
      <c r="D55" s="362">
        <f>CP!H142</f>
        <v>76818</v>
      </c>
      <c r="E55" s="364"/>
      <c r="F55" s="364"/>
      <c r="G55" s="362">
        <f t="shared" ref="G55:G60" si="11">SUM(C55:F55)</f>
        <v>5201688</v>
      </c>
      <c r="H55" s="362">
        <f t="shared" si="10"/>
        <v>780253</v>
      </c>
      <c r="I55" s="362"/>
      <c r="J55" s="362">
        <f t="shared" ref="J55:J60" si="12">G55+H55+I55</f>
        <v>5981941</v>
      </c>
      <c r="L55" s="386"/>
    </row>
    <row r="56" spans="1:12" ht="33" x14ac:dyDescent="0.25">
      <c r="A56" s="606" t="s">
        <v>280</v>
      </c>
      <c r="B56" s="538" t="s">
        <v>51</v>
      </c>
      <c r="C56" s="363">
        <f>CP!H146</f>
        <v>3416580</v>
      </c>
      <c r="D56" s="362">
        <f>CP!H147</f>
        <v>94545</v>
      </c>
      <c r="E56" s="364"/>
      <c r="F56" s="364"/>
      <c r="G56" s="362">
        <f t="shared" si="11"/>
        <v>3511125</v>
      </c>
      <c r="H56" s="362">
        <f t="shared" si="10"/>
        <v>526669</v>
      </c>
      <c r="I56" s="362"/>
      <c r="J56" s="362">
        <f t="shared" si="12"/>
        <v>4037794</v>
      </c>
      <c r="L56" s="386"/>
    </row>
    <row r="57" spans="1:12" ht="33" x14ac:dyDescent="0.25">
      <c r="A57" s="606" t="s">
        <v>281</v>
      </c>
      <c r="B57" s="528" t="s">
        <v>52</v>
      </c>
      <c r="C57" s="363">
        <f>CP!H151</f>
        <v>597645</v>
      </c>
      <c r="D57" s="362">
        <f>CP!H152</f>
        <v>27000</v>
      </c>
      <c r="E57" s="364"/>
      <c r="F57" s="364"/>
      <c r="G57" s="362">
        <f t="shared" si="11"/>
        <v>624645</v>
      </c>
      <c r="H57" s="362">
        <f t="shared" si="10"/>
        <v>93697</v>
      </c>
      <c r="I57" s="362"/>
      <c r="J57" s="362">
        <f t="shared" si="12"/>
        <v>718342</v>
      </c>
      <c r="L57" s="386"/>
    </row>
    <row r="58" spans="1:12" ht="33" x14ac:dyDescent="0.25">
      <c r="A58" s="606" t="s">
        <v>282</v>
      </c>
      <c r="B58" s="528" t="s">
        <v>53</v>
      </c>
      <c r="C58" s="363">
        <f>CP!H155</f>
        <v>1764720</v>
      </c>
      <c r="D58" s="362">
        <f>CP!H156</f>
        <v>58000</v>
      </c>
      <c r="E58" s="364"/>
      <c r="F58" s="364"/>
      <c r="G58" s="362">
        <f t="shared" si="11"/>
        <v>1822720</v>
      </c>
      <c r="H58" s="362">
        <f t="shared" si="10"/>
        <v>273408</v>
      </c>
      <c r="I58" s="362"/>
      <c r="J58" s="362">
        <f t="shared" si="12"/>
        <v>2096128</v>
      </c>
      <c r="L58" s="386"/>
    </row>
    <row r="59" spans="1:12" ht="99.75" customHeight="1" x14ac:dyDescent="0.25">
      <c r="A59" s="606">
        <v>17</v>
      </c>
      <c r="B59" s="339" t="s">
        <v>274</v>
      </c>
      <c r="C59" s="363">
        <f>CP!H160</f>
        <v>3416580</v>
      </c>
      <c r="D59" s="362">
        <f>CP!H161</f>
        <v>47727</v>
      </c>
      <c r="E59" s="364"/>
      <c r="F59" s="364"/>
      <c r="G59" s="362">
        <f t="shared" si="11"/>
        <v>3464307</v>
      </c>
      <c r="H59" s="362">
        <f t="shared" si="10"/>
        <v>519646</v>
      </c>
      <c r="I59" s="362"/>
      <c r="J59" s="362">
        <f t="shared" si="12"/>
        <v>3983953</v>
      </c>
      <c r="L59" s="386"/>
    </row>
    <row r="60" spans="1:12" ht="21.75" customHeight="1" x14ac:dyDescent="0.25">
      <c r="A60" s="606">
        <v>18</v>
      </c>
      <c r="B60" s="528" t="s">
        <v>67</v>
      </c>
      <c r="C60" s="363">
        <f>CP!H165</f>
        <v>4555440</v>
      </c>
      <c r="D60" s="362">
        <f>CP!H166</f>
        <v>56545</v>
      </c>
      <c r="E60" s="364"/>
      <c r="F60" s="364"/>
      <c r="G60" s="362">
        <f t="shared" si="11"/>
        <v>4611985</v>
      </c>
      <c r="H60" s="362">
        <f t="shared" si="10"/>
        <v>691798</v>
      </c>
      <c r="I60" s="362"/>
      <c r="J60" s="362">
        <f t="shared" si="12"/>
        <v>5303783</v>
      </c>
      <c r="L60" s="386"/>
    </row>
    <row r="61" spans="1:12" ht="33" x14ac:dyDescent="0.25">
      <c r="A61" s="596">
        <v>19</v>
      </c>
      <c r="B61" s="588" t="s">
        <v>133</v>
      </c>
      <c r="C61" s="589"/>
      <c r="D61" s="434"/>
      <c r="E61" s="590"/>
      <c r="F61" s="590"/>
      <c r="G61" s="434"/>
      <c r="H61" s="434"/>
      <c r="I61" s="434"/>
      <c r="J61" s="434"/>
      <c r="L61" s="386"/>
    </row>
    <row r="62" spans="1:12" ht="15.95" customHeight="1" x14ac:dyDescent="0.25">
      <c r="A62" s="597"/>
      <c r="B62" s="601" t="s">
        <v>154</v>
      </c>
      <c r="C62" s="592">
        <f>CP!H170</f>
        <v>597645</v>
      </c>
      <c r="D62" s="593"/>
      <c r="E62" s="610">
        <v>0</v>
      </c>
      <c r="F62" s="610">
        <v>0</v>
      </c>
      <c r="G62" s="353">
        <f t="shared" ref="G62:G69" si="13">SUM(C62:F62)</f>
        <v>597645</v>
      </c>
      <c r="H62" s="598"/>
      <c r="I62" s="602">
        <f>ROUND(G62*20%,0)</f>
        <v>119529</v>
      </c>
      <c r="J62" s="353">
        <f>G62+H62+I62</f>
        <v>717174</v>
      </c>
      <c r="L62" s="386"/>
    </row>
    <row r="63" spans="1:12" ht="15.95" customHeight="1" x14ac:dyDescent="0.25">
      <c r="A63" s="597"/>
      <c r="B63" s="601" t="s">
        <v>155</v>
      </c>
      <c r="C63" s="592">
        <f>CP!H170</f>
        <v>597645</v>
      </c>
      <c r="D63" s="593"/>
      <c r="E63" s="353">
        <f>CP!H173</f>
        <v>45220</v>
      </c>
      <c r="F63" s="353">
        <f>CP!H182</f>
        <v>160000</v>
      </c>
      <c r="G63" s="353">
        <f t="shared" si="13"/>
        <v>802865</v>
      </c>
      <c r="H63" s="353"/>
      <c r="I63" s="602">
        <f t="shared" ref="I63:I69" si="14">ROUND(G63*20%,0)</f>
        <v>160573</v>
      </c>
      <c r="J63" s="353">
        <f t="shared" ref="J63:J69" si="15">G63+H63+I63</f>
        <v>963438</v>
      </c>
      <c r="L63" s="386"/>
    </row>
    <row r="64" spans="1:12" ht="15.95" customHeight="1" x14ac:dyDescent="0.25">
      <c r="A64" s="597"/>
      <c r="B64" s="601" t="s">
        <v>156</v>
      </c>
      <c r="C64" s="592">
        <f>C63</f>
        <v>597645</v>
      </c>
      <c r="D64" s="593"/>
      <c r="E64" s="353">
        <f>CP!H174</f>
        <v>67830</v>
      </c>
      <c r="F64" s="353">
        <f>CP!H182</f>
        <v>160000</v>
      </c>
      <c r="G64" s="353">
        <f t="shared" si="13"/>
        <v>825475</v>
      </c>
      <c r="H64" s="353"/>
      <c r="I64" s="602">
        <f t="shared" si="14"/>
        <v>165095</v>
      </c>
      <c r="J64" s="353">
        <f t="shared" si="15"/>
        <v>990570</v>
      </c>
      <c r="L64" s="386"/>
    </row>
    <row r="65" spans="1:12" ht="15.95" customHeight="1" x14ac:dyDescent="0.25">
      <c r="A65" s="597"/>
      <c r="B65" s="601" t="s">
        <v>267</v>
      </c>
      <c r="C65" s="592">
        <f>C63</f>
        <v>597645</v>
      </c>
      <c r="D65" s="593"/>
      <c r="E65" s="353">
        <f>CP!H175</f>
        <v>90440</v>
      </c>
      <c r="F65" s="353">
        <f>CP!H182</f>
        <v>160000</v>
      </c>
      <c r="G65" s="353">
        <f t="shared" si="13"/>
        <v>848085</v>
      </c>
      <c r="H65" s="353"/>
      <c r="I65" s="353">
        <f t="shared" si="14"/>
        <v>169617</v>
      </c>
      <c r="J65" s="353">
        <f t="shared" si="15"/>
        <v>1017702</v>
      </c>
      <c r="L65" s="386"/>
    </row>
    <row r="66" spans="1:12" ht="15.95" customHeight="1" x14ac:dyDescent="0.25">
      <c r="A66" s="597"/>
      <c r="B66" s="601" t="s">
        <v>164</v>
      </c>
      <c r="C66" s="592">
        <f>C63</f>
        <v>597645</v>
      </c>
      <c r="D66" s="593"/>
      <c r="E66" s="353">
        <f>CP!H176</f>
        <v>113050</v>
      </c>
      <c r="F66" s="353">
        <f>CP!H182</f>
        <v>160000</v>
      </c>
      <c r="G66" s="353">
        <f t="shared" si="13"/>
        <v>870695</v>
      </c>
      <c r="H66" s="353"/>
      <c r="I66" s="602">
        <f t="shared" si="14"/>
        <v>174139</v>
      </c>
      <c r="J66" s="353">
        <f t="shared" si="15"/>
        <v>1044834</v>
      </c>
      <c r="L66" s="386"/>
    </row>
    <row r="67" spans="1:12" ht="15.95" customHeight="1" x14ac:dyDescent="0.25">
      <c r="A67" s="597"/>
      <c r="B67" s="601" t="s">
        <v>160</v>
      </c>
      <c r="C67" s="592">
        <f>C63</f>
        <v>597645</v>
      </c>
      <c r="D67" s="593"/>
      <c r="E67" s="353">
        <f>CP!H177</f>
        <v>135660</v>
      </c>
      <c r="F67" s="353">
        <f>CP!H181</f>
        <v>200000</v>
      </c>
      <c r="G67" s="353">
        <f t="shared" si="13"/>
        <v>933305</v>
      </c>
      <c r="H67" s="353"/>
      <c r="I67" s="602">
        <f t="shared" si="14"/>
        <v>186661</v>
      </c>
      <c r="J67" s="353">
        <f t="shared" si="15"/>
        <v>1119966</v>
      </c>
      <c r="L67" s="386"/>
    </row>
    <row r="68" spans="1:12" ht="15.95" customHeight="1" x14ac:dyDescent="0.25">
      <c r="A68" s="597"/>
      <c r="B68" s="601" t="s">
        <v>163</v>
      </c>
      <c r="C68" s="592">
        <f>C63</f>
        <v>597645</v>
      </c>
      <c r="D68" s="593"/>
      <c r="E68" s="353">
        <f>CP!H178</f>
        <v>158270</v>
      </c>
      <c r="F68" s="353">
        <f>CP!H181</f>
        <v>200000</v>
      </c>
      <c r="G68" s="353">
        <f t="shared" si="13"/>
        <v>955915</v>
      </c>
      <c r="H68" s="353"/>
      <c r="I68" s="602">
        <f t="shared" si="14"/>
        <v>191183</v>
      </c>
      <c r="J68" s="353">
        <f t="shared" si="15"/>
        <v>1147098</v>
      </c>
      <c r="L68" s="386"/>
    </row>
    <row r="69" spans="1:12" ht="15.95" customHeight="1" x14ac:dyDescent="0.25">
      <c r="A69" s="599"/>
      <c r="B69" s="603" t="s">
        <v>162</v>
      </c>
      <c r="C69" s="594">
        <f>C63</f>
        <v>597645</v>
      </c>
      <c r="D69" s="595"/>
      <c r="E69" s="359">
        <f>CP!H179</f>
        <v>180880</v>
      </c>
      <c r="F69" s="359">
        <f>CP!H181</f>
        <v>200000</v>
      </c>
      <c r="G69" s="359">
        <f t="shared" si="13"/>
        <v>978525</v>
      </c>
      <c r="H69" s="359"/>
      <c r="I69" s="604">
        <f t="shared" si="14"/>
        <v>195705</v>
      </c>
      <c r="J69" s="353">
        <f t="shared" si="15"/>
        <v>1174230</v>
      </c>
      <c r="L69" s="386"/>
    </row>
    <row r="70" spans="1:12" ht="33" x14ac:dyDescent="0.25">
      <c r="A70" s="606">
        <v>20</v>
      </c>
      <c r="B70" s="528" t="str">
        <f>CP!B183</f>
        <v>Báo cáo về kết quả thực hiện đấu giá quyền sử dụng đất</v>
      </c>
      <c r="C70" s="363">
        <f>CP!H183</f>
        <v>1138860</v>
      </c>
      <c r="D70" s="362">
        <f>CP!H184</f>
        <v>28637</v>
      </c>
      <c r="E70" s="364"/>
      <c r="F70" s="364"/>
      <c r="G70" s="362">
        <f>SUM(C70:F70)</f>
        <v>1167497</v>
      </c>
      <c r="H70" s="362">
        <f>ROUND(G70*15%,0)</f>
        <v>175125</v>
      </c>
      <c r="I70" s="362"/>
      <c r="J70" s="362">
        <f>G70+H70+I70</f>
        <v>1342622</v>
      </c>
      <c r="K70" s="608"/>
      <c r="L70" s="386"/>
    </row>
    <row r="71" spans="1:12" ht="21.75" customHeight="1" x14ac:dyDescent="0.25">
      <c r="B71" s="605" t="s">
        <v>283</v>
      </c>
    </row>
    <row r="72" spans="1:12" ht="37.5" customHeight="1" x14ac:dyDescent="0.25">
      <c r="B72" s="734" t="s">
        <v>307</v>
      </c>
      <c r="C72" s="734"/>
      <c r="D72" s="734"/>
      <c r="E72" s="734"/>
      <c r="F72" s="734"/>
      <c r="G72" s="734"/>
      <c r="H72" s="734"/>
      <c r="I72" s="734"/>
      <c r="J72" s="734"/>
    </row>
    <row r="73" spans="1:12" ht="36.75" customHeight="1" x14ac:dyDescent="0.25">
      <c r="B73" s="723" t="s">
        <v>308</v>
      </c>
      <c r="C73" s="723"/>
      <c r="D73" s="723"/>
      <c r="E73" s="723"/>
      <c r="F73" s="723"/>
      <c r="G73" s="723"/>
      <c r="H73" s="723"/>
      <c r="I73" s="723"/>
      <c r="J73" s="723"/>
    </row>
    <row r="74" spans="1:12" ht="20.25" customHeight="1" x14ac:dyDescent="0.25">
      <c r="B74" s="722" t="s">
        <v>302</v>
      </c>
      <c r="C74" s="722"/>
      <c r="D74" s="722"/>
      <c r="E74" s="722"/>
      <c r="F74" s="722"/>
      <c r="G74" s="722"/>
      <c r="H74" s="722"/>
      <c r="I74" s="722"/>
      <c r="J74" s="722"/>
    </row>
    <row r="75" spans="1:12" ht="21.95" customHeight="1" x14ac:dyDescent="0.25">
      <c r="B75" s="722" t="s">
        <v>299</v>
      </c>
      <c r="C75" s="722"/>
      <c r="D75" s="722"/>
      <c r="E75" s="722"/>
      <c r="F75" s="722"/>
      <c r="G75" s="722"/>
      <c r="H75" s="722"/>
      <c r="I75" s="722"/>
      <c r="J75" s="722"/>
    </row>
    <row r="76" spans="1:12" ht="21.75" customHeight="1" x14ac:dyDescent="0.25">
      <c r="B76" s="722" t="s">
        <v>300</v>
      </c>
      <c r="C76" s="722"/>
      <c r="D76" s="722"/>
      <c r="E76" s="722"/>
      <c r="F76" s="722"/>
      <c r="G76" s="722"/>
      <c r="H76" s="722"/>
      <c r="I76" s="722"/>
      <c r="J76" s="722"/>
    </row>
    <row r="77" spans="1:12" ht="22.5" customHeight="1" x14ac:dyDescent="0.25">
      <c r="B77" s="722" t="s">
        <v>304</v>
      </c>
      <c r="C77" s="722"/>
      <c r="D77" s="722"/>
      <c r="E77" s="722"/>
      <c r="F77" s="722"/>
      <c r="G77" s="722"/>
      <c r="H77" s="722"/>
      <c r="I77" s="722"/>
      <c r="J77" s="722"/>
    </row>
  </sheetData>
  <mergeCells count="21">
    <mergeCell ref="B72:J72"/>
    <mergeCell ref="A9:A17"/>
    <mergeCell ref="A36:A44"/>
    <mergeCell ref="A1:J1"/>
    <mergeCell ref="A2:J2"/>
    <mergeCell ref="A3:J3"/>
    <mergeCell ref="K7:L7"/>
    <mergeCell ref="H5:I5"/>
    <mergeCell ref="A5:A6"/>
    <mergeCell ref="B5:B6"/>
    <mergeCell ref="C5:C6"/>
    <mergeCell ref="D5:D6"/>
    <mergeCell ref="E5:E6"/>
    <mergeCell ref="F5:F6"/>
    <mergeCell ref="G5:G6"/>
    <mergeCell ref="J5:J6"/>
    <mergeCell ref="B76:J76"/>
    <mergeCell ref="B77:J77"/>
    <mergeCell ref="B75:J75"/>
    <mergeCell ref="B73:J73"/>
    <mergeCell ref="B74:J74"/>
  </mergeCells>
  <pageMargins left="0.24" right="0.16" top="0.4" bottom="0.39" header="0.2" footer="0.17"/>
  <pageSetup paperSize="9" orientation="landscape" r:id="rId1"/>
  <headerFoot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80" zoomScaleNormal="80" workbookViewId="0">
      <selection activeCell="L28" sqref="L28"/>
    </sheetView>
  </sheetViews>
  <sheetFormatPr defaultColWidth="9" defaultRowHeight="16.5" x14ac:dyDescent="0.25"/>
  <cols>
    <col min="1" max="1" width="5.75" style="340" bestFit="1" customWidth="1"/>
    <col min="2" max="2" width="36.375" style="340" customWidth="1"/>
    <col min="3" max="3" width="2.75" style="387" hidden="1" customWidth="1"/>
    <col min="4" max="4" width="10.75" style="388" bestFit="1" customWidth="1"/>
    <col min="5" max="5" width="9" style="340"/>
    <col min="6" max="6" width="13.875" style="340" customWidth="1"/>
    <col min="7" max="7" width="16.5" style="340" customWidth="1"/>
    <col min="8" max="8" width="11.125" style="340" bestFit="1" customWidth="1"/>
    <col min="9" max="9" width="16.125" style="340" customWidth="1"/>
    <col min="10" max="10" width="14" style="386" bestFit="1" customWidth="1"/>
    <col min="11" max="12" width="11.125" style="340" bestFit="1" customWidth="1"/>
    <col min="13" max="13" width="10" style="340" bestFit="1" customWidth="1"/>
    <col min="14" max="16384" width="9" style="340"/>
  </cols>
  <sheetData>
    <row r="1" spans="1:10" ht="16.5" customHeight="1" x14ac:dyDescent="0.25">
      <c r="A1" s="739" t="s">
        <v>117</v>
      </c>
      <c r="B1" s="739"/>
      <c r="C1" s="739"/>
      <c r="D1" s="739"/>
      <c r="E1" s="739"/>
      <c r="F1" s="739"/>
      <c r="G1" s="739"/>
      <c r="H1" s="739"/>
      <c r="I1" s="739"/>
      <c r="J1" s="739"/>
    </row>
    <row r="2" spans="1:10" ht="51.75" customHeight="1" x14ac:dyDescent="0.25">
      <c r="A2" s="740" t="s">
        <v>190</v>
      </c>
      <c r="B2" s="740"/>
      <c r="C2" s="740"/>
      <c r="D2" s="740"/>
      <c r="E2" s="740"/>
      <c r="F2" s="740"/>
      <c r="G2" s="740"/>
      <c r="H2" s="740"/>
      <c r="I2" s="740"/>
      <c r="J2" s="740"/>
    </row>
    <row r="3" spans="1:10" x14ac:dyDescent="0.25">
      <c r="A3" s="341"/>
      <c r="B3" s="341"/>
      <c r="C3" s="341"/>
      <c r="D3" s="342"/>
      <c r="E3" s="341"/>
      <c r="F3" s="341"/>
      <c r="G3" s="341"/>
      <c r="H3" s="341"/>
      <c r="I3" s="341"/>
      <c r="J3" s="343" t="s">
        <v>118</v>
      </c>
    </row>
    <row r="4" spans="1:10" ht="42.75" customHeight="1" x14ac:dyDescent="0.25">
      <c r="A4" s="344" t="s">
        <v>0</v>
      </c>
      <c r="B4" s="344" t="s">
        <v>1</v>
      </c>
      <c r="C4" s="98" t="s">
        <v>4</v>
      </c>
      <c r="D4" s="389" t="s">
        <v>119</v>
      </c>
      <c r="E4" s="136" t="s">
        <v>120</v>
      </c>
      <c r="F4" s="136" t="s">
        <v>121</v>
      </c>
      <c r="G4" s="137" t="s">
        <v>122</v>
      </c>
      <c r="H4" s="136" t="s">
        <v>123</v>
      </c>
      <c r="I4" s="136" t="s">
        <v>124</v>
      </c>
      <c r="J4" s="136" t="s">
        <v>78</v>
      </c>
    </row>
    <row r="5" spans="1:10" ht="66" x14ac:dyDescent="0.25">
      <c r="A5" s="345">
        <v>1</v>
      </c>
      <c r="B5" s="346" t="str">
        <f>Don_gia_PA!B2</f>
        <v>Kiểm tra lại ranh giới, hiện trạng sử dụng khu đất và phối hợp với địa phương xử lý một số vướng mắc phát sinh (nếu có)</v>
      </c>
      <c r="C5" s="347"/>
      <c r="D5" s="314"/>
      <c r="E5" s="217"/>
      <c r="F5" s="217"/>
      <c r="G5" s="217"/>
      <c r="H5" s="217"/>
      <c r="I5" s="217"/>
      <c r="J5" s="217"/>
    </row>
    <row r="6" spans="1:10" x14ac:dyDescent="0.25">
      <c r="A6" s="348"/>
      <c r="B6" s="349" t="s">
        <v>30</v>
      </c>
      <c r="C6" s="350"/>
      <c r="D6" s="351">
        <f>Don_gia_PA!G3</f>
        <v>1138860</v>
      </c>
      <c r="E6" s="352">
        <f>Don_gia_PA!G4</f>
        <v>102000</v>
      </c>
      <c r="F6" s="352">
        <f>Don_gia_PA!G9</f>
        <v>0</v>
      </c>
      <c r="G6" s="352"/>
      <c r="H6" s="353">
        <f>SUM(D6:G6)</f>
        <v>1240860</v>
      </c>
      <c r="I6" s="353">
        <f>H6*15%</f>
        <v>186129</v>
      </c>
      <c r="J6" s="353">
        <f>H6+I6</f>
        <v>1426989</v>
      </c>
    </row>
    <row r="7" spans="1:10" x14ac:dyDescent="0.25">
      <c r="A7" s="348"/>
      <c r="B7" s="349" t="s">
        <v>31</v>
      </c>
      <c r="C7" s="350"/>
      <c r="D7" s="351">
        <f>Don_gia_PA!G3</f>
        <v>1138860</v>
      </c>
      <c r="E7" s="352">
        <f>Don_gia_PA!G4</f>
        <v>102000</v>
      </c>
      <c r="F7" s="352">
        <f>Don_gia_PA!G10</f>
        <v>21350</v>
      </c>
      <c r="G7" s="352">
        <f>Don_gia_PA!G20</f>
        <v>160000</v>
      </c>
      <c r="H7" s="353">
        <f>SUM(D7:G7)</f>
        <v>1422210</v>
      </c>
      <c r="I7" s="353">
        <f t="shared" ref="I7:I18" si="0">H7*15%</f>
        <v>213331.5</v>
      </c>
      <c r="J7" s="353">
        <f t="shared" ref="J7:J14" si="1">H7+I7</f>
        <v>1635541.5</v>
      </c>
    </row>
    <row r="8" spans="1:10" x14ac:dyDescent="0.25">
      <c r="A8" s="348"/>
      <c r="B8" s="349" t="s">
        <v>32</v>
      </c>
      <c r="C8" s="350"/>
      <c r="D8" s="351">
        <f>Don_gia_PA!G3</f>
        <v>1138860</v>
      </c>
      <c r="E8" s="352">
        <f>Don_gia_PA!G4</f>
        <v>102000</v>
      </c>
      <c r="F8" s="352">
        <f>Don_gia_PA!G11</f>
        <v>29890</v>
      </c>
      <c r="G8" s="352">
        <f>Don_gia_PA!G20</f>
        <v>160000</v>
      </c>
      <c r="H8" s="353">
        <f>SUM(D8:G8)</f>
        <v>1430750</v>
      </c>
      <c r="I8" s="353">
        <f t="shared" si="0"/>
        <v>214612.5</v>
      </c>
      <c r="J8" s="353">
        <f t="shared" si="1"/>
        <v>1645362.5</v>
      </c>
    </row>
    <row r="9" spans="1:10" x14ac:dyDescent="0.25">
      <c r="A9" s="348"/>
      <c r="B9" s="349" t="s">
        <v>172</v>
      </c>
      <c r="C9" s="350"/>
      <c r="D9" s="351">
        <f>Don_gia_PA!G3</f>
        <v>1138860</v>
      </c>
      <c r="E9" s="352">
        <f>Don_gia_PA!G4</f>
        <v>102000</v>
      </c>
      <c r="F9" s="352">
        <f>Don_gia_PA!G12</f>
        <v>40565</v>
      </c>
      <c r="G9" s="352">
        <f>Don_gia_PA!G20</f>
        <v>160000</v>
      </c>
      <c r="H9" s="353">
        <f t="shared" ref="H9:H18" si="2">SUM(D9:G9)</f>
        <v>1441425</v>
      </c>
      <c r="I9" s="353">
        <f t="shared" si="0"/>
        <v>216213.75</v>
      </c>
      <c r="J9" s="353">
        <f t="shared" si="1"/>
        <v>1657638.75</v>
      </c>
    </row>
    <row r="10" spans="1:10" x14ac:dyDescent="0.25">
      <c r="A10" s="348"/>
      <c r="B10" s="349" t="s">
        <v>171</v>
      </c>
      <c r="C10" s="350"/>
      <c r="D10" s="351">
        <f>Don_gia_PA!G3</f>
        <v>1138860</v>
      </c>
      <c r="E10" s="352">
        <f>Don_gia_PA!G4</f>
        <v>102000</v>
      </c>
      <c r="F10" s="352">
        <f>Don_gia_PA!G13</f>
        <v>42700</v>
      </c>
      <c r="G10" s="352">
        <f>Don_gia_PA!G20</f>
        <v>160000</v>
      </c>
      <c r="H10" s="353">
        <f>SUM(D10:G10)</f>
        <v>1443560</v>
      </c>
      <c r="I10" s="353">
        <f>H10*15%</f>
        <v>216534</v>
      </c>
      <c r="J10" s="353">
        <f>H10+I10</f>
        <v>1660094</v>
      </c>
    </row>
    <row r="11" spans="1:10" x14ac:dyDescent="0.25">
      <c r="A11" s="348"/>
      <c r="B11" s="349" t="s">
        <v>138</v>
      </c>
      <c r="C11" s="350"/>
      <c r="D11" s="351">
        <f>Don_gia_PA!G3</f>
        <v>1138860</v>
      </c>
      <c r="E11" s="352">
        <f>E9</f>
        <v>102000</v>
      </c>
      <c r="F11" s="352">
        <f>Don_gia_PA!G14</f>
        <v>51240</v>
      </c>
      <c r="G11" s="352">
        <f>Don_gia_PA!G20</f>
        <v>160000</v>
      </c>
      <c r="H11" s="353">
        <f t="shared" si="2"/>
        <v>1452100</v>
      </c>
      <c r="I11" s="353">
        <f t="shared" si="0"/>
        <v>217815</v>
      </c>
      <c r="J11" s="353">
        <f t="shared" si="1"/>
        <v>1669915</v>
      </c>
    </row>
    <row r="12" spans="1:10" x14ac:dyDescent="0.25">
      <c r="A12" s="348"/>
      <c r="B12" s="349" t="s">
        <v>139</v>
      </c>
      <c r="C12" s="350"/>
      <c r="D12" s="351">
        <f>Don_gia_PA!G3</f>
        <v>1138860</v>
      </c>
      <c r="E12" s="352">
        <f>E6</f>
        <v>102000</v>
      </c>
      <c r="F12" s="352">
        <f>Don_gia_PA!G15</f>
        <v>64050</v>
      </c>
      <c r="G12" s="352">
        <f>Don_gia_PA!G19</f>
        <v>200000</v>
      </c>
      <c r="H12" s="353">
        <f t="shared" si="2"/>
        <v>1504910</v>
      </c>
      <c r="I12" s="353">
        <f t="shared" si="0"/>
        <v>225736.5</v>
      </c>
      <c r="J12" s="353">
        <f t="shared" si="1"/>
        <v>1730646.5</v>
      </c>
    </row>
    <row r="13" spans="1:10" x14ac:dyDescent="0.25">
      <c r="A13" s="348"/>
      <c r="B13" s="349" t="s">
        <v>35</v>
      </c>
      <c r="C13" s="350"/>
      <c r="D13" s="351">
        <f>Don_gia_PA!G3</f>
        <v>1138860</v>
      </c>
      <c r="E13" s="352">
        <f>E6</f>
        <v>102000</v>
      </c>
      <c r="F13" s="352">
        <f>Don_gia_PA!G16</f>
        <v>70455</v>
      </c>
      <c r="G13" s="352">
        <f>Don_gia_PA!G19</f>
        <v>200000</v>
      </c>
      <c r="H13" s="353">
        <f t="shared" si="2"/>
        <v>1511315</v>
      </c>
      <c r="I13" s="353">
        <f t="shared" si="0"/>
        <v>226697.25</v>
      </c>
      <c r="J13" s="353">
        <f t="shared" si="1"/>
        <v>1738012.25</v>
      </c>
    </row>
    <row r="14" spans="1:10" x14ac:dyDescent="0.25">
      <c r="A14" s="354"/>
      <c r="B14" s="355" t="s">
        <v>36</v>
      </c>
      <c r="C14" s="356"/>
      <c r="D14" s="357">
        <f>Don_gia_PA!G3</f>
        <v>1138860</v>
      </c>
      <c r="E14" s="358">
        <f>E6</f>
        <v>102000</v>
      </c>
      <c r="F14" s="358">
        <f>Don_gia_PA!G17</f>
        <v>83265</v>
      </c>
      <c r="G14" s="358">
        <f>Don_gia_PA!G19</f>
        <v>200000</v>
      </c>
      <c r="H14" s="359">
        <f t="shared" si="2"/>
        <v>1524125</v>
      </c>
      <c r="I14" s="359">
        <f t="shared" si="0"/>
        <v>228618.75</v>
      </c>
      <c r="J14" s="353">
        <f t="shared" si="1"/>
        <v>1752743.75</v>
      </c>
    </row>
    <row r="15" spans="1:10" ht="33" x14ac:dyDescent="0.25">
      <c r="A15" s="360">
        <v>2</v>
      </c>
      <c r="B15" s="361" t="str">
        <f>Don_gia_PA!B21</f>
        <v>Thu thập, rà soát hồ sơ, cơ sở pháp lý để lập Phương án</v>
      </c>
      <c r="C15" s="98"/>
      <c r="D15" s="315">
        <f>Don_gia_PA!G22</f>
        <v>1708290</v>
      </c>
      <c r="E15" s="322">
        <f>Don_gia_PA!G23</f>
        <v>204500</v>
      </c>
      <c r="F15" s="136"/>
      <c r="G15" s="136"/>
      <c r="H15" s="362">
        <f t="shared" si="2"/>
        <v>1912790</v>
      </c>
      <c r="I15" s="362">
        <f t="shared" si="0"/>
        <v>286918.5</v>
      </c>
      <c r="J15" s="362">
        <f>H15+I15</f>
        <v>2199708.5</v>
      </c>
    </row>
    <row r="16" spans="1:10" ht="40.5" customHeight="1" x14ac:dyDescent="0.25">
      <c r="A16" s="360">
        <v>3</v>
      </c>
      <c r="B16" s="361" t="str">
        <f>Don_gia_PA!B28</f>
        <v>Dự thảo Phương án lấy ý kiến các sở, ngành liên quan</v>
      </c>
      <c r="C16" s="98"/>
      <c r="D16" s="315">
        <f>Don_gia_PA!G29</f>
        <v>5124870</v>
      </c>
      <c r="E16" s="322">
        <f>Don_gia_PA!G30</f>
        <v>549500</v>
      </c>
      <c r="F16" s="136"/>
      <c r="G16" s="136"/>
      <c r="H16" s="362">
        <f t="shared" si="2"/>
        <v>5674370</v>
      </c>
      <c r="I16" s="362">
        <f t="shared" si="0"/>
        <v>851155.5</v>
      </c>
      <c r="J16" s="362">
        <f>H16+I16</f>
        <v>6525525.5</v>
      </c>
    </row>
    <row r="17" spans="1:10" ht="26.25" customHeight="1" x14ac:dyDescent="0.25">
      <c r="A17" s="360">
        <v>4</v>
      </c>
      <c r="B17" s="361" t="str">
        <f>Don_gia_PA!B35</f>
        <v>Tổng hợp ý kiến, hoàn chỉnh phương án</v>
      </c>
      <c r="C17" s="98"/>
      <c r="D17" s="315">
        <f>Don_gia_PA!G36</f>
        <v>3501225</v>
      </c>
      <c r="E17" s="322">
        <f>Don_gia_PA!G37</f>
        <v>292500</v>
      </c>
      <c r="F17" s="136"/>
      <c r="G17" s="136"/>
      <c r="H17" s="362">
        <f t="shared" si="2"/>
        <v>3793725</v>
      </c>
      <c r="I17" s="362">
        <f t="shared" si="0"/>
        <v>569058.75</v>
      </c>
      <c r="J17" s="362">
        <f>H17+I17</f>
        <v>4362783.75</v>
      </c>
    </row>
    <row r="18" spans="1:10" ht="33" x14ac:dyDescent="0.25">
      <c r="A18" s="360">
        <v>5</v>
      </c>
      <c r="B18" s="361" t="str">
        <f>Don_gia_PA!B40</f>
        <v>Trình cấp thẩm quyền phê duyệt phương án</v>
      </c>
      <c r="C18" s="98"/>
      <c r="D18" s="315">
        <f>Don_gia_PA!G41</f>
        <v>569430</v>
      </c>
      <c r="E18" s="322">
        <f>Don_gia_PA!G42</f>
        <v>192500</v>
      </c>
      <c r="F18" s="136"/>
      <c r="G18" s="136"/>
      <c r="H18" s="362">
        <f t="shared" si="2"/>
        <v>761930</v>
      </c>
      <c r="I18" s="362">
        <f t="shared" si="0"/>
        <v>114289.5</v>
      </c>
      <c r="J18" s="362">
        <f>H18+I18</f>
        <v>876219.5</v>
      </c>
    </row>
    <row r="19" spans="1:10" ht="36" customHeight="1" x14ac:dyDescent="0.25">
      <c r="A19" s="101">
        <v>6</v>
      </c>
      <c r="B19" s="361" t="str">
        <f>Don_gia_thanh!B45</f>
        <v>Chuẩn bị hồ sơ đấu giá quyền sử dụng đất</v>
      </c>
      <c r="C19" s="101" t="s">
        <v>44</v>
      </c>
      <c r="D19" s="363">
        <f>Don_gia_thanh!G46</f>
        <v>3529440</v>
      </c>
      <c r="E19" s="362">
        <f>Don_gia_thanh!G47</f>
        <v>295000</v>
      </c>
      <c r="F19" s="364"/>
      <c r="G19" s="364"/>
      <c r="H19" s="362">
        <f>SUM(D19:G19)</f>
        <v>3824440</v>
      </c>
      <c r="I19" s="362">
        <f>H19*15%</f>
        <v>573666</v>
      </c>
      <c r="J19" s="362">
        <f>H19+I19</f>
        <v>4398106</v>
      </c>
    </row>
    <row r="20" spans="1:10" ht="39" customHeight="1" x14ac:dyDescent="0.25">
      <c r="A20" s="101">
        <v>7</v>
      </c>
      <c r="B20" s="361" t="str">
        <f>Don_gia_thanh!B51</f>
        <v>Trình cơ quan có thẩm quyền quyết định đấu giá quyền sử dụng đất.</v>
      </c>
      <c r="C20" s="101" t="s">
        <v>44</v>
      </c>
      <c r="D20" s="363">
        <f>Don_gia_thanh!G52</f>
        <v>597645</v>
      </c>
      <c r="E20" s="362">
        <f>Don_gia_thanh!G53</f>
        <v>75500</v>
      </c>
      <c r="F20" s="365"/>
      <c r="G20" s="365"/>
      <c r="H20" s="362">
        <f t="shared" ref="H20:H45" si="3">SUM(D20:G20)</f>
        <v>673145</v>
      </c>
      <c r="I20" s="362">
        <f t="shared" ref="I20:I45" si="4">H20*15%</f>
        <v>100971.75</v>
      </c>
      <c r="J20" s="362">
        <f t="shared" ref="J20:J45" si="5">H20+I20</f>
        <v>774116.75</v>
      </c>
    </row>
    <row r="21" spans="1:10" ht="66" x14ac:dyDescent="0.25">
      <c r="A21" s="101">
        <v>8</v>
      </c>
      <c r="B21" s="238" t="str">
        <f>Don_gia_thanh!B56</f>
        <v>Tổ chức thực hiện xác định giá khởi điểm trình cấp có thẩm quyền phê duyệt giá khởi điểm của thửa đất đấu giá</v>
      </c>
      <c r="C21" s="101" t="s">
        <v>44</v>
      </c>
      <c r="D21" s="363">
        <f>Don_gia_thanh!G57</f>
        <v>1138860</v>
      </c>
      <c r="E21" s="362">
        <f>Don_gia_thanh!G58</f>
        <v>290000</v>
      </c>
      <c r="F21" s="366"/>
      <c r="G21" s="365"/>
      <c r="H21" s="362">
        <f t="shared" si="3"/>
        <v>1428860</v>
      </c>
      <c r="I21" s="362">
        <f t="shared" si="4"/>
        <v>214329</v>
      </c>
      <c r="J21" s="362">
        <f t="shared" si="5"/>
        <v>1643189</v>
      </c>
    </row>
    <row r="22" spans="1:10" ht="51.75" customHeight="1" x14ac:dyDescent="0.25">
      <c r="A22" s="101">
        <v>9</v>
      </c>
      <c r="B22" s="238" t="str">
        <f>Don_gia_thanh!B62</f>
        <v>Trình cơ quan có thẩm quyền quyết định bước giá để tổ chức đấu giá quyền sử dụng đất theo quy định.</v>
      </c>
      <c r="C22" s="101"/>
      <c r="D22" s="363">
        <f>Don_gia_thanh!G63</f>
        <v>6833160</v>
      </c>
      <c r="E22" s="362">
        <f>Don_gia_thanh!G64</f>
        <v>290000</v>
      </c>
      <c r="F22" s="366"/>
      <c r="G22" s="365"/>
      <c r="H22" s="362">
        <f>SUM(D22:G22)</f>
        <v>7123160</v>
      </c>
      <c r="I22" s="362">
        <f>H22*15%</f>
        <v>1068474</v>
      </c>
      <c r="J22" s="362">
        <f>H22+I22</f>
        <v>8191634</v>
      </c>
    </row>
    <row r="23" spans="1:10" ht="57" customHeight="1" x14ac:dyDescent="0.25">
      <c r="A23" s="101">
        <v>10</v>
      </c>
      <c r="B23" s="238" t="str">
        <f>Don_gia_thanh!B69</f>
        <v>Lựa chọn tổ chức đấu giá tài sản theo Thông tư số 02/2022/TT-BTP ngày 08/02/2022 của Bộ trưởng Bộ Tư pháp.</v>
      </c>
      <c r="C23" s="101"/>
      <c r="D23" s="367"/>
      <c r="E23" s="366"/>
      <c r="F23" s="366"/>
      <c r="G23" s="366"/>
      <c r="H23" s="362"/>
      <c r="I23" s="362"/>
      <c r="J23" s="362"/>
    </row>
    <row r="24" spans="1:10" ht="49.5" x14ac:dyDescent="0.25">
      <c r="A24" s="368" t="s">
        <v>173</v>
      </c>
      <c r="B24" s="239" t="str">
        <f>Don_gia_thanh!B70</f>
        <v xml:space="preserve">Lập hồ sơ, ban hành khung tiêu chí và thông báo công khai tiêu chí lựa chọn tổ chức đấu giá tài sản </v>
      </c>
      <c r="C24" s="368"/>
      <c r="D24" s="369">
        <f>Don_gia_thanh!G71</f>
        <v>3416580</v>
      </c>
      <c r="E24" s="370">
        <f>Don_gia_thanh!G72</f>
        <v>502500</v>
      </c>
      <c r="F24" s="371"/>
      <c r="G24" s="371"/>
      <c r="H24" s="370">
        <f t="shared" si="3"/>
        <v>3919080</v>
      </c>
      <c r="I24" s="370">
        <f t="shared" si="4"/>
        <v>587862</v>
      </c>
      <c r="J24" s="370">
        <f t="shared" si="5"/>
        <v>4506942</v>
      </c>
    </row>
    <row r="25" spans="1:10" ht="33" x14ac:dyDescent="0.25">
      <c r="A25" s="368" t="s">
        <v>175</v>
      </c>
      <c r="B25" s="239" t="str">
        <f>Don_gia_thanh!B76</f>
        <v>Đánh giá, chấm điểm theo tiêu chí lựa chọn tổ chức đấu giá tài sản</v>
      </c>
      <c r="C25" s="368"/>
      <c r="D25" s="369">
        <f>Don_gia_thanh!G77</f>
        <v>4270725</v>
      </c>
      <c r="E25" s="370">
        <f>Don_gia_thanh!G78</f>
        <v>212500</v>
      </c>
      <c r="F25" s="371"/>
      <c r="G25" s="371"/>
      <c r="H25" s="370">
        <f t="shared" si="3"/>
        <v>4483225</v>
      </c>
      <c r="I25" s="370">
        <f t="shared" si="4"/>
        <v>672483.75</v>
      </c>
      <c r="J25" s="370">
        <f t="shared" si="5"/>
        <v>5155708.75</v>
      </c>
    </row>
    <row r="26" spans="1:10" ht="33" x14ac:dyDescent="0.25">
      <c r="A26" s="368" t="s">
        <v>176</v>
      </c>
      <c r="B26" s="239" t="str">
        <f>Don_gia_thanh!B82</f>
        <v>Thông báo kết quả lựa chọn tổ chức đấu giá tài sản</v>
      </c>
      <c r="C26" s="368"/>
      <c r="D26" s="369">
        <f>Don_gia_thanh!G83</f>
        <v>597645</v>
      </c>
      <c r="E26" s="370">
        <f>Don_gia_thanh!G84</f>
        <v>100000</v>
      </c>
      <c r="F26" s="371"/>
      <c r="G26" s="371"/>
      <c r="H26" s="370">
        <f t="shared" si="3"/>
        <v>697645</v>
      </c>
      <c r="I26" s="370">
        <f t="shared" si="4"/>
        <v>104646.75</v>
      </c>
      <c r="J26" s="370">
        <f t="shared" si="5"/>
        <v>802291.75</v>
      </c>
    </row>
    <row r="27" spans="1:10" ht="33" x14ac:dyDescent="0.25">
      <c r="A27" s="368" t="s">
        <v>177</v>
      </c>
      <c r="B27" s="239" t="str">
        <f>Don_gia_thanh!B87</f>
        <v>Ký hợp đồng với đơn vị thực hiện cuộc bán đấu giá theo quy định</v>
      </c>
      <c r="C27" s="368"/>
      <c r="D27" s="369">
        <f>Don_gia_thanh!G88</f>
        <v>1764720</v>
      </c>
      <c r="E27" s="370">
        <f>Don_gia_thanh!G89</f>
        <v>295000</v>
      </c>
      <c r="F27" s="371"/>
      <c r="G27" s="371"/>
      <c r="H27" s="370">
        <f t="shared" si="3"/>
        <v>2059720</v>
      </c>
      <c r="I27" s="370">
        <f t="shared" si="4"/>
        <v>308958</v>
      </c>
      <c r="J27" s="370">
        <f t="shared" si="5"/>
        <v>2368678</v>
      </c>
    </row>
    <row r="28" spans="1:10" ht="160.5" customHeight="1" x14ac:dyDescent="0.25">
      <c r="A28" s="101">
        <v>11</v>
      </c>
      <c r="B28" s="238" t="str">
        <f>Don_gia_thanh!B93</f>
        <v>Phối hợp đơn vị tổ chức đấu giá tài sản thông báo về việc bán đấu giá tài sản; Ban hành Quy chế cuộc bán đấu giá; Thực hiện việc niêm yết đấu giá tài sản và đăng tải thông tin về việc đấu giá tài sản theo quy định; Xét hồ sơ đăng ký tham gia đấu giá; Tổ chức đấu giá quyền sử dụng đất theo quy định; Báo cáo về kết quả thực hiện đấu giá.</v>
      </c>
      <c r="C28" s="101"/>
      <c r="D28" s="367"/>
      <c r="E28" s="366"/>
      <c r="F28" s="366"/>
      <c r="G28" s="366"/>
      <c r="H28" s="362"/>
      <c r="I28" s="362"/>
      <c r="J28" s="362"/>
    </row>
    <row r="29" spans="1:10" ht="104.25" customHeight="1" x14ac:dyDescent="0.25">
      <c r="A29" s="368" t="s">
        <v>178</v>
      </c>
      <c r="B29" s="239" t="str">
        <f>Don_gia_thanh!B94</f>
        <v>Phối hợp đơn vị tổ chức đấu giá tài sản thông báo về việc bán đấu giá tài sản;Ban hành Quy chế cuộc bán đấu giá; Thực hiện việc niêm yết đấu giá tài sản và đăng tải thông tin về việc đấu giá tài sản theo quy định</v>
      </c>
      <c r="C29" s="368"/>
      <c r="D29" s="369">
        <f>Don_gia_thanh!G94</f>
        <v>3416580</v>
      </c>
      <c r="E29" s="371"/>
      <c r="F29" s="371"/>
      <c r="G29" s="371"/>
      <c r="H29" s="370">
        <f t="shared" si="3"/>
        <v>3416580</v>
      </c>
      <c r="I29" s="370">
        <f t="shared" si="4"/>
        <v>512487</v>
      </c>
      <c r="J29" s="370">
        <f t="shared" si="5"/>
        <v>3929067</v>
      </c>
    </row>
    <row r="30" spans="1:10" ht="19.5" customHeight="1" x14ac:dyDescent="0.25">
      <c r="A30" s="368" t="s">
        <v>174</v>
      </c>
      <c r="B30" s="239" t="str">
        <f>Don_gia_thanh!B95</f>
        <v xml:space="preserve"> Xét hồ sơ đăng ký tham gia đấu giá</v>
      </c>
      <c r="C30" s="368"/>
      <c r="D30" s="372">
        <f>Don_gia_thanh!G96</f>
        <v>4555440</v>
      </c>
      <c r="E30" s="371">
        <f>Don_gia_thanh!G97</f>
        <v>202500</v>
      </c>
      <c r="F30" s="371"/>
      <c r="G30" s="371"/>
      <c r="H30" s="370">
        <f t="shared" si="3"/>
        <v>4757940</v>
      </c>
      <c r="I30" s="370">
        <f t="shared" si="4"/>
        <v>713691</v>
      </c>
      <c r="J30" s="370">
        <f t="shared" si="5"/>
        <v>5471631</v>
      </c>
    </row>
    <row r="31" spans="1:10" ht="33" x14ac:dyDescent="0.25">
      <c r="A31" s="373" t="s">
        <v>179</v>
      </c>
      <c r="B31" s="374" t="str">
        <f>Don_gia_thanh!B101</f>
        <v>Tổ chức đấu giá quyền sử dụng đất theo quy định</v>
      </c>
      <c r="C31" s="373"/>
      <c r="D31" s="375"/>
      <c r="E31" s="376"/>
      <c r="F31" s="376"/>
      <c r="G31" s="376"/>
      <c r="H31" s="377"/>
      <c r="I31" s="377"/>
      <c r="J31" s="377"/>
    </row>
    <row r="32" spans="1:10" x14ac:dyDescent="0.25">
      <c r="A32" s="378"/>
      <c r="B32" s="379" t="s">
        <v>30</v>
      </c>
      <c r="C32" s="378"/>
      <c r="D32" s="380">
        <f>Don_gia_thanh!G102</f>
        <v>882360</v>
      </c>
      <c r="E32" s="381"/>
      <c r="F32" s="381">
        <f>Don_gia_thanh!G104</f>
        <v>0</v>
      </c>
      <c r="G32" s="381"/>
      <c r="H32" s="337">
        <f t="shared" si="3"/>
        <v>882360</v>
      </c>
      <c r="I32" s="337">
        <f t="shared" si="4"/>
        <v>132354</v>
      </c>
      <c r="J32" s="337">
        <f t="shared" si="5"/>
        <v>1014714</v>
      </c>
    </row>
    <row r="33" spans="1:13" x14ac:dyDescent="0.25">
      <c r="A33" s="378"/>
      <c r="B33" s="379" t="s">
        <v>31</v>
      </c>
      <c r="C33" s="378"/>
      <c r="D33" s="380">
        <f>Don_gia_thanh!G102</f>
        <v>882360</v>
      </c>
      <c r="E33" s="381"/>
      <c r="F33" s="381">
        <f>Don_gia_thanh!G105</f>
        <v>21350</v>
      </c>
      <c r="G33" s="381">
        <f>Don_gia_thanh!G115</f>
        <v>80000</v>
      </c>
      <c r="H33" s="337">
        <f t="shared" si="3"/>
        <v>983710</v>
      </c>
      <c r="I33" s="337">
        <f t="shared" si="4"/>
        <v>147556.5</v>
      </c>
      <c r="J33" s="337">
        <f t="shared" si="5"/>
        <v>1131266.5</v>
      </c>
    </row>
    <row r="34" spans="1:13" x14ac:dyDescent="0.25">
      <c r="A34" s="378"/>
      <c r="B34" s="379" t="s">
        <v>32</v>
      </c>
      <c r="C34" s="378"/>
      <c r="D34" s="380">
        <f>Don_gia_thanh!G102</f>
        <v>882360</v>
      </c>
      <c r="E34" s="381"/>
      <c r="F34" s="381">
        <f>Don_gia_thanh!G106</f>
        <v>29890</v>
      </c>
      <c r="G34" s="381">
        <f>Don_gia_thanh!G115</f>
        <v>80000</v>
      </c>
      <c r="H34" s="337">
        <f t="shared" si="3"/>
        <v>992250</v>
      </c>
      <c r="I34" s="337">
        <f t="shared" si="4"/>
        <v>148837.5</v>
      </c>
      <c r="J34" s="337">
        <f t="shared" si="5"/>
        <v>1141087.5</v>
      </c>
    </row>
    <row r="35" spans="1:13" x14ac:dyDescent="0.25">
      <c r="A35" s="378"/>
      <c r="B35" s="379" t="s">
        <v>172</v>
      </c>
      <c r="C35" s="378"/>
      <c r="D35" s="380">
        <f>Don_gia_thanh!G102</f>
        <v>882360</v>
      </c>
      <c r="E35" s="381"/>
      <c r="F35" s="381">
        <f>Don_gia_thanh!G107</f>
        <v>40565</v>
      </c>
      <c r="G35" s="381">
        <f>Don_gia_thanh!G115</f>
        <v>80000</v>
      </c>
      <c r="H35" s="337">
        <f t="shared" si="3"/>
        <v>1002925</v>
      </c>
      <c r="I35" s="337">
        <f t="shared" si="4"/>
        <v>150438.75</v>
      </c>
      <c r="J35" s="337">
        <f t="shared" si="5"/>
        <v>1153363.75</v>
      </c>
    </row>
    <row r="36" spans="1:13" x14ac:dyDescent="0.25">
      <c r="A36" s="378"/>
      <c r="B36" s="379" t="s">
        <v>171</v>
      </c>
      <c r="C36" s="378"/>
      <c r="D36" s="380">
        <f>Don_gia_thanh!G102</f>
        <v>882360</v>
      </c>
      <c r="E36" s="381"/>
      <c r="F36" s="381">
        <f>Don_gia_thanh!G108</f>
        <v>42700</v>
      </c>
      <c r="G36" s="381">
        <f>Don_gia_thanh!G115</f>
        <v>80000</v>
      </c>
      <c r="H36" s="337">
        <f t="shared" si="3"/>
        <v>1005060</v>
      </c>
      <c r="I36" s="337">
        <f t="shared" si="4"/>
        <v>150759</v>
      </c>
      <c r="J36" s="337">
        <f t="shared" si="5"/>
        <v>1155819</v>
      </c>
    </row>
    <row r="37" spans="1:13" x14ac:dyDescent="0.25">
      <c r="A37" s="378"/>
      <c r="B37" s="379" t="s">
        <v>138</v>
      </c>
      <c r="C37" s="378"/>
      <c r="D37" s="380">
        <f>Don_gia_thanh!G102</f>
        <v>882360</v>
      </c>
      <c r="E37" s="381"/>
      <c r="F37" s="381">
        <f>Don_gia_thanh!G109</f>
        <v>51240</v>
      </c>
      <c r="G37" s="381">
        <f>Don_gia_thanh!G115</f>
        <v>80000</v>
      </c>
      <c r="H37" s="337">
        <f t="shared" si="3"/>
        <v>1013600</v>
      </c>
      <c r="I37" s="337">
        <f>H37*15%</f>
        <v>152040</v>
      </c>
      <c r="J37" s="337">
        <f t="shared" si="5"/>
        <v>1165640</v>
      </c>
    </row>
    <row r="38" spans="1:13" x14ac:dyDescent="0.25">
      <c r="A38" s="378"/>
      <c r="B38" s="379" t="s">
        <v>139</v>
      </c>
      <c r="C38" s="378"/>
      <c r="D38" s="380">
        <f>Don_gia_thanh!G102</f>
        <v>882360</v>
      </c>
      <c r="E38" s="381"/>
      <c r="F38" s="381">
        <f>Don_gia_thanh!G110</f>
        <v>64050</v>
      </c>
      <c r="G38" s="381">
        <f>Don_gia_thanh!G114</f>
        <v>100000</v>
      </c>
      <c r="H38" s="337">
        <f t="shared" si="3"/>
        <v>1046410</v>
      </c>
      <c r="I38" s="337">
        <f t="shared" si="4"/>
        <v>156961.5</v>
      </c>
      <c r="J38" s="337">
        <f t="shared" si="5"/>
        <v>1203371.5</v>
      </c>
    </row>
    <row r="39" spans="1:13" x14ac:dyDescent="0.25">
      <c r="A39" s="378"/>
      <c r="B39" s="379" t="s">
        <v>35</v>
      </c>
      <c r="C39" s="378"/>
      <c r="D39" s="380">
        <f>Don_gia_thanh!G102</f>
        <v>882360</v>
      </c>
      <c r="E39" s="381"/>
      <c r="F39" s="381">
        <f>Don_gia_thanh!G111</f>
        <v>70455</v>
      </c>
      <c r="G39" s="381">
        <f>Don_gia_thanh!G114</f>
        <v>100000</v>
      </c>
      <c r="H39" s="337">
        <f t="shared" si="3"/>
        <v>1052815</v>
      </c>
      <c r="I39" s="337">
        <f t="shared" si="4"/>
        <v>157922.25</v>
      </c>
      <c r="J39" s="337">
        <f t="shared" si="5"/>
        <v>1210737.25</v>
      </c>
    </row>
    <row r="40" spans="1:13" x14ac:dyDescent="0.25">
      <c r="A40" s="382"/>
      <c r="B40" s="383" t="s">
        <v>36</v>
      </c>
      <c r="C40" s="382"/>
      <c r="D40" s="384">
        <f>Don_gia_thanh!G102</f>
        <v>882360</v>
      </c>
      <c r="E40" s="385"/>
      <c r="F40" s="385">
        <f>Don_gia_thanh!G112</f>
        <v>83265</v>
      </c>
      <c r="G40" s="385">
        <f>Don_gia_thanh!G114</f>
        <v>100000</v>
      </c>
      <c r="H40" s="337">
        <f t="shared" si="3"/>
        <v>1065625</v>
      </c>
      <c r="I40" s="337">
        <f t="shared" si="4"/>
        <v>159843.75</v>
      </c>
      <c r="J40" s="337">
        <f t="shared" si="5"/>
        <v>1225468.75</v>
      </c>
    </row>
    <row r="41" spans="1:13" x14ac:dyDescent="0.25">
      <c r="A41" s="101">
        <v>12</v>
      </c>
      <c r="B41" s="339" t="str">
        <f>Don_gia_thanh!B116</f>
        <v>Báo cáo về kết quả thực hiện đấu giá</v>
      </c>
      <c r="C41" s="101"/>
      <c r="D41" s="363">
        <f>Don_gia_thanh!G117</f>
        <v>1792935</v>
      </c>
      <c r="E41" s="362">
        <f>Don_gia_thanh!G118</f>
        <v>192500</v>
      </c>
      <c r="F41" s="366"/>
      <c r="G41" s="366"/>
      <c r="H41" s="362">
        <f t="shared" si="3"/>
        <v>1985435</v>
      </c>
      <c r="I41" s="362">
        <f t="shared" si="4"/>
        <v>297815.25</v>
      </c>
      <c r="J41" s="362">
        <f t="shared" si="5"/>
        <v>2283250.25</v>
      </c>
    </row>
    <row r="42" spans="1:13" ht="54" customHeight="1" x14ac:dyDescent="0.25">
      <c r="A42" s="101">
        <v>13</v>
      </c>
      <c r="B42" s="238" t="str">
        <f>Don_gia_thanh!B121</f>
        <v>Tổ chức ký hợp đồng mua bán tài sản đấu giá theo quy định tại Điều 46 Luật Đấu giá tài sản ngày 17/11/2016</v>
      </c>
      <c r="C42" s="101"/>
      <c r="D42" s="363">
        <f>Don_gia_thanh!G122</f>
        <v>1708290</v>
      </c>
      <c r="E42" s="363">
        <f>Don_gia_thanh!G123</f>
        <v>200000</v>
      </c>
      <c r="F42" s="366"/>
      <c r="G42" s="366"/>
      <c r="H42" s="362">
        <f t="shared" si="3"/>
        <v>1908290</v>
      </c>
      <c r="I42" s="362">
        <f t="shared" si="4"/>
        <v>286243.5</v>
      </c>
      <c r="J42" s="362">
        <f t="shared" si="5"/>
        <v>2194533.5</v>
      </c>
    </row>
    <row r="43" spans="1:13" ht="49.5" x14ac:dyDescent="0.25">
      <c r="A43" s="101">
        <v>14</v>
      </c>
      <c r="B43" s="238" t="str">
        <f>Don_gia_thanh!B126</f>
        <v>Trình cơ quan có thẩm quyền phê duyệt kết quả đấu giá đấu giá quyền sử dụng đất</v>
      </c>
      <c r="C43" s="101"/>
      <c r="D43" s="363">
        <f>Don_gia_thanh!G127</f>
        <v>1792935</v>
      </c>
      <c r="E43" s="363">
        <f>Don_gia_thanh!G128</f>
        <v>192500</v>
      </c>
      <c r="F43" s="366"/>
      <c r="G43" s="366"/>
      <c r="H43" s="362">
        <f t="shared" si="3"/>
        <v>1985435</v>
      </c>
      <c r="I43" s="362">
        <f t="shared" si="4"/>
        <v>297815.25</v>
      </c>
      <c r="J43" s="362">
        <f t="shared" si="5"/>
        <v>2283250.25</v>
      </c>
    </row>
    <row r="44" spans="1:13" ht="21" customHeight="1" x14ac:dyDescent="0.25">
      <c r="A44" s="101">
        <v>15</v>
      </c>
      <c r="B44" s="238" t="str">
        <f>Don_gia_thanh!B131</f>
        <v>Nộp tiền sử dụng đất, tiền thuê đất</v>
      </c>
      <c r="C44" s="101"/>
      <c r="D44" s="363">
        <f>Don_gia_thanh!G132</f>
        <v>882360</v>
      </c>
      <c r="E44" s="363">
        <f>Don_gia_thanh!G133</f>
        <v>83000</v>
      </c>
      <c r="F44" s="366"/>
      <c r="G44" s="366"/>
      <c r="H44" s="362">
        <f t="shared" si="3"/>
        <v>965360</v>
      </c>
      <c r="I44" s="362">
        <f t="shared" si="4"/>
        <v>144804</v>
      </c>
      <c r="J44" s="362">
        <f t="shared" si="5"/>
        <v>1110164</v>
      </c>
      <c r="K44" s="340" t="s">
        <v>181</v>
      </c>
      <c r="L44" s="340" t="s">
        <v>182</v>
      </c>
    </row>
    <row r="45" spans="1:13" ht="49.5" x14ac:dyDescent="0.25">
      <c r="A45" s="101">
        <v>16</v>
      </c>
      <c r="B45" s="238" t="str">
        <f>Don_gia_thanh!B136</f>
        <v>Cấp giấy chứng nhận quyền sử dụng đất, giao đất trên thực địa cho người trúng đấu giá</v>
      </c>
      <c r="C45" s="101"/>
      <c r="D45" s="363">
        <f>Don_gia_thanh!G136</f>
        <v>284715</v>
      </c>
      <c r="E45" s="363"/>
      <c r="F45" s="366"/>
      <c r="G45" s="366"/>
      <c r="H45" s="362">
        <f t="shared" si="3"/>
        <v>284715</v>
      </c>
      <c r="I45" s="362">
        <f t="shared" si="4"/>
        <v>42707.25</v>
      </c>
      <c r="J45" s="362">
        <f t="shared" si="5"/>
        <v>327422.25</v>
      </c>
      <c r="K45" s="391">
        <f>J6+J15+J16+J17+J18+J19+J20+J21+J22+J24+J25+J26+J27+J29+J30+J32+J41+J42+J43+J44+J45</f>
        <v>61845924.75</v>
      </c>
      <c r="L45" s="391">
        <f>J7+J15+J16+J17+J18+J19+J20+J21+J22+J24+J25+J26+J27+J29+J30+J33+J41+J42+J43+J44+J45</f>
        <v>62171029.75</v>
      </c>
      <c r="M45" s="391"/>
    </row>
    <row r="47" spans="1:13" x14ac:dyDescent="0.25">
      <c r="K47" s="386"/>
      <c r="L47" s="386"/>
    </row>
  </sheetData>
  <mergeCells count="2">
    <mergeCell ref="A1:J1"/>
    <mergeCell ref="A2:J2"/>
  </mergeCells>
  <pageMargins left="0.31" right="0.17" top="0.28000000000000003" bottom="0.34" header="0.19" footer="0.17"/>
  <pageSetup paperSize="9" orientation="landscape"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workbookViewId="0">
      <selection activeCell="K28" sqref="K28"/>
    </sheetView>
  </sheetViews>
  <sheetFormatPr defaultColWidth="9" defaultRowHeight="16.5" x14ac:dyDescent="0.25"/>
  <cols>
    <col min="1" max="1" width="5.75" style="2" bestFit="1" customWidth="1"/>
    <col min="2" max="2" width="28.875" style="2" customWidth="1"/>
    <col min="3" max="3" width="10.125" style="37" customWidth="1"/>
    <col min="4" max="5" width="10" style="2" bestFit="1" customWidth="1"/>
    <col min="6" max="6" width="13.875" style="2" customWidth="1"/>
    <col min="7" max="7" width="16.5" style="2" customWidth="1"/>
    <col min="8" max="8" width="11.125" style="2" bestFit="1" customWidth="1"/>
    <col min="9" max="9" width="16.125" style="2" customWidth="1"/>
    <col min="10" max="10" width="14" style="142" bestFit="1" customWidth="1"/>
    <col min="11" max="11" width="15.125" style="142" bestFit="1" customWidth="1"/>
    <col min="12" max="13" width="14" style="2" bestFit="1" customWidth="1"/>
    <col min="14" max="14" width="12.25" style="2" bestFit="1" customWidth="1"/>
    <col min="15" max="15" width="11.125" style="2" bestFit="1" customWidth="1"/>
    <col min="16" max="16" width="12.25" style="2" bestFit="1" customWidth="1"/>
    <col min="17" max="17" width="11.125" style="2" bestFit="1" customWidth="1"/>
    <col min="18" max="18" width="12.25" style="2" bestFit="1" customWidth="1"/>
    <col min="19" max="19" width="14" style="2" bestFit="1" customWidth="1"/>
    <col min="20" max="16384" width="9" style="2"/>
  </cols>
  <sheetData>
    <row r="1" spans="1:19" ht="16.5" customHeight="1" x14ac:dyDescent="0.25">
      <c r="A1" s="742" t="s">
        <v>117</v>
      </c>
      <c r="B1" s="742"/>
      <c r="C1" s="742"/>
      <c r="D1" s="742"/>
      <c r="E1" s="742"/>
      <c r="F1" s="742"/>
      <c r="G1" s="742"/>
      <c r="H1" s="742"/>
      <c r="I1" s="742"/>
      <c r="J1" s="742"/>
      <c r="K1" s="130"/>
    </row>
    <row r="2" spans="1:19" ht="36" customHeight="1" x14ac:dyDescent="0.25">
      <c r="A2" s="743" t="s">
        <v>128</v>
      </c>
      <c r="B2" s="744"/>
      <c r="C2" s="744"/>
      <c r="D2" s="744"/>
      <c r="E2" s="744"/>
      <c r="F2" s="744"/>
      <c r="G2" s="744"/>
      <c r="H2" s="744"/>
      <c r="I2" s="744"/>
      <c r="J2" s="744"/>
      <c r="K2" s="131"/>
    </row>
    <row r="3" spans="1:19" x14ac:dyDescent="0.25">
      <c r="A3" s="132"/>
      <c r="B3" s="132"/>
      <c r="C3" s="132"/>
      <c r="D3" s="132"/>
      <c r="E3" s="132"/>
      <c r="F3" s="132"/>
      <c r="G3" s="132"/>
      <c r="H3" s="132"/>
      <c r="I3" s="132"/>
      <c r="J3" s="133" t="s">
        <v>118</v>
      </c>
      <c r="K3" s="134"/>
    </row>
    <row r="4" spans="1:19" ht="33" x14ac:dyDescent="0.25">
      <c r="A4" s="64" t="s">
        <v>0</v>
      </c>
      <c r="B4" s="64" t="s">
        <v>1</v>
      </c>
      <c r="C4" s="65" t="s">
        <v>140</v>
      </c>
      <c r="D4" s="135" t="s">
        <v>119</v>
      </c>
      <c r="E4" s="136" t="s">
        <v>120</v>
      </c>
      <c r="F4" s="136" t="s">
        <v>121</v>
      </c>
      <c r="G4" s="137" t="s">
        <v>122</v>
      </c>
      <c r="H4" s="136" t="s">
        <v>123</v>
      </c>
      <c r="I4" s="136" t="s">
        <v>124</v>
      </c>
      <c r="J4" s="136" t="s">
        <v>78</v>
      </c>
      <c r="K4" s="138"/>
      <c r="M4" s="2">
        <v>18</v>
      </c>
    </row>
    <row r="5" spans="1:19" ht="33" x14ac:dyDescent="0.25">
      <c r="A5" s="4">
        <v>1</v>
      </c>
      <c r="B5" s="5" t="str">
        <f>Don_gia_thanh!B45</f>
        <v>Chuẩn bị hồ sơ đấu giá quyền sử dụng đất</v>
      </c>
      <c r="C5" s="4">
        <v>4</v>
      </c>
      <c r="D5" s="139">
        <f>Don_gia_thanh!G46</f>
        <v>3529440</v>
      </c>
      <c r="E5" s="139">
        <f>Don_gia_thanh!G47</f>
        <v>295000</v>
      </c>
      <c r="F5" s="140"/>
      <c r="G5" s="140"/>
      <c r="H5" s="139">
        <f>(D5+E5+F5+G5)*C5</f>
        <v>15297760</v>
      </c>
      <c r="I5" s="139">
        <f>H5*15%</f>
        <v>2294664</v>
      </c>
      <c r="J5" s="139">
        <f>H5+I5</f>
        <v>17592424</v>
      </c>
      <c r="K5" s="139"/>
      <c r="M5" s="142">
        <f>J5+J7+J30</f>
        <v>172565987</v>
      </c>
      <c r="N5" s="142">
        <f>J5+J8+J30</f>
        <v>159420475</v>
      </c>
      <c r="O5" s="142">
        <f>J5+J9+J30</f>
        <v>177448243</v>
      </c>
      <c r="P5" s="142">
        <f>J5+J10+J30</f>
        <v>174887601.25</v>
      </c>
      <c r="Q5" s="142">
        <f>J5+J11+J30</f>
        <v>160222766.75</v>
      </c>
      <c r="R5" s="142">
        <f>J5+J12+J30</f>
        <v>164157831</v>
      </c>
      <c r="S5" s="142"/>
    </row>
    <row r="6" spans="1:19" ht="49.5" x14ac:dyDescent="0.25">
      <c r="A6" s="17">
        <v>2</v>
      </c>
      <c r="B6" s="143" t="str">
        <f>Don_gia_thanh!B51</f>
        <v>Trình cơ quan có thẩm quyền quyết định đấu giá quyền sử dụng đất.</v>
      </c>
      <c r="C6" s="4">
        <v>1</v>
      </c>
      <c r="D6" s="144">
        <f>Don_gia_thanh!G52</f>
        <v>597645</v>
      </c>
      <c r="E6" s="144">
        <f>Don_gia_thanh!G53</f>
        <v>75500</v>
      </c>
      <c r="F6" s="145"/>
      <c r="G6" s="145"/>
      <c r="H6" s="139">
        <f t="shared" ref="H6:H29" si="0">(D6+E6+F6+G6)*C6</f>
        <v>673145</v>
      </c>
      <c r="I6" s="139">
        <f t="shared" ref="I6:I29" si="1">H6*15%</f>
        <v>100971.75</v>
      </c>
      <c r="J6" s="139">
        <f t="shared" ref="J6:J29" si="2">H6+I6</f>
        <v>774116.75</v>
      </c>
      <c r="K6" s="146"/>
      <c r="L6" s="147">
        <f>M5*2*18*12</f>
        <v>74548506384</v>
      </c>
      <c r="M6" s="142">
        <f>M5*K7*12*2</f>
        <v>74548506384</v>
      </c>
      <c r="N6" s="142">
        <f>N5*K8*2*12</f>
        <v>34434822600</v>
      </c>
      <c r="O6" s="142">
        <f>O5*K9*12*2</f>
        <v>12776273496</v>
      </c>
      <c r="P6" s="142">
        <f>P5*K10*2*12</f>
        <v>29381117010</v>
      </c>
      <c r="Q6" s="142">
        <f>Q5*K11*2*12</f>
        <v>11536039206</v>
      </c>
      <c r="R6" s="142">
        <f>K12*R5*2*12</f>
        <v>15759151776</v>
      </c>
      <c r="S6" s="148">
        <f>SUM(M6:R6)</f>
        <v>178435910472</v>
      </c>
    </row>
    <row r="7" spans="1:19" ht="122.25" customHeight="1" x14ac:dyDescent="0.25">
      <c r="A7" s="149">
        <v>3</v>
      </c>
      <c r="B7" s="150" t="str">
        <f>Don_gia_thanh!B56</f>
        <v>Tổ chức thực hiện xác định giá khởi điểm trình cấp có thẩm quyền phê duyệt giá khởi điểm của thửa đất đấu giá</v>
      </c>
      <c r="C7" s="4">
        <v>8</v>
      </c>
      <c r="D7" s="151">
        <f>Don_gia_thanh!G57</f>
        <v>1138860</v>
      </c>
      <c r="E7" s="151">
        <f>Don_gia_thanh!G58</f>
        <v>290000</v>
      </c>
      <c r="F7" s="151"/>
      <c r="G7" s="152"/>
      <c r="H7" s="139">
        <f t="shared" si="0"/>
        <v>11430880</v>
      </c>
      <c r="I7" s="139">
        <f t="shared" si="1"/>
        <v>1714632</v>
      </c>
      <c r="J7" s="139">
        <f t="shared" si="2"/>
        <v>13145512</v>
      </c>
      <c r="K7" s="146">
        <v>18</v>
      </c>
      <c r="L7" s="147">
        <f>M5*3*15*12</f>
        <v>93185632980</v>
      </c>
    </row>
    <row r="8" spans="1:19" ht="66" x14ac:dyDescent="0.25">
      <c r="A8" s="153">
        <v>4</v>
      </c>
      <c r="B8" s="154" t="str">
        <f>Don_gia_thanh!B69</f>
        <v>Lựa chọn tổ chức đấu giá tài sản theo Thông tư số 02/2022/TT-BTP ngày 08/02/2022 của Bộ trưởng Bộ Tư pháp.</v>
      </c>
      <c r="C8" s="153"/>
      <c r="D8" s="155"/>
      <c r="E8" s="155"/>
      <c r="F8" s="155"/>
      <c r="G8" s="155"/>
      <c r="H8" s="139">
        <f t="shared" si="0"/>
        <v>0</v>
      </c>
      <c r="I8" s="139">
        <f t="shared" si="1"/>
        <v>0</v>
      </c>
      <c r="J8" s="139">
        <f t="shared" si="2"/>
        <v>0</v>
      </c>
      <c r="K8" s="147">
        <v>9</v>
      </c>
      <c r="L8" s="147">
        <f>M5*4*10*12</f>
        <v>82831673760</v>
      </c>
    </row>
    <row r="9" spans="1:19" ht="66" x14ac:dyDescent="0.25">
      <c r="A9" s="199" t="s">
        <v>58</v>
      </c>
      <c r="B9" s="154" t="str">
        <f>Don_gia_thanh!B70</f>
        <v xml:space="preserve">Lập hồ sơ, ban hành khung tiêu chí và thông báo công khai tiêu chí lựa chọn tổ chức đấu giá tài sản </v>
      </c>
      <c r="C9" s="153">
        <v>4</v>
      </c>
      <c r="D9" s="155">
        <f>Don_gia_thanh!G71</f>
        <v>3416580</v>
      </c>
      <c r="E9" s="155">
        <f>Don_gia_thanh!G72</f>
        <v>502500</v>
      </c>
      <c r="F9" s="155"/>
      <c r="G9" s="155"/>
      <c r="H9" s="139">
        <f t="shared" si="0"/>
        <v>15676320</v>
      </c>
      <c r="I9" s="139">
        <f t="shared" si="1"/>
        <v>2351448</v>
      </c>
      <c r="J9" s="139">
        <f t="shared" si="2"/>
        <v>18027768</v>
      </c>
      <c r="K9" s="156">
        <v>3</v>
      </c>
      <c r="L9" s="142">
        <f>SUM(L6:L8)</f>
        <v>250565813124</v>
      </c>
    </row>
    <row r="10" spans="1:19" ht="49.5" x14ac:dyDescent="0.25">
      <c r="A10" s="199" t="s">
        <v>61</v>
      </c>
      <c r="B10" s="198" t="str">
        <f>Don_gia_thanh!B76</f>
        <v>Đánh giá, chấm điểm theo tiêu chí lựa chọn tổ chức đấu giá tài sản</v>
      </c>
      <c r="C10" s="153">
        <v>3</v>
      </c>
      <c r="D10" s="155">
        <f>Don_gia_thanh!G77</f>
        <v>4270725</v>
      </c>
      <c r="E10" s="155">
        <f>Don_gia_thanh!G78</f>
        <v>212500</v>
      </c>
      <c r="F10" s="155"/>
      <c r="G10" s="155"/>
      <c r="H10" s="139">
        <f t="shared" si="0"/>
        <v>13449675</v>
      </c>
      <c r="I10" s="139">
        <f t="shared" si="1"/>
        <v>2017451.25</v>
      </c>
      <c r="J10" s="139">
        <f t="shared" si="2"/>
        <v>15467126.25</v>
      </c>
      <c r="K10" s="156">
        <f>4+3</f>
        <v>7</v>
      </c>
    </row>
    <row r="11" spans="1:19" ht="33" x14ac:dyDescent="0.25">
      <c r="A11" s="199" t="s">
        <v>62</v>
      </c>
      <c r="B11" s="198" t="str">
        <f>Don_gia_thanh!B82</f>
        <v>Thông báo kết quả lựa chọn tổ chức đấu giá tài sản</v>
      </c>
      <c r="C11" s="153">
        <v>1</v>
      </c>
      <c r="D11" s="155">
        <f>Don_gia_thanh!G83</f>
        <v>597645</v>
      </c>
      <c r="E11" s="155">
        <f>Don_gia_thanh!G84</f>
        <v>100000</v>
      </c>
      <c r="F11" s="155"/>
      <c r="G11" s="155"/>
      <c r="H11" s="139">
        <f t="shared" si="0"/>
        <v>697645</v>
      </c>
      <c r="I11" s="139">
        <f t="shared" si="1"/>
        <v>104646.75</v>
      </c>
      <c r="J11" s="139">
        <f t="shared" si="2"/>
        <v>802291.75</v>
      </c>
      <c r="K11" s="156">
        <f>2+1</f>
        <v>3</v>
      </c>
    </row>
    <row r="12" spans="1:19" ht="49.5" x14ac:dyDescent="0.25">
      <c r="A12" s="199" t="s">
        <v>63</v>
      </c>
      <c r="B12" s="154" t="str">
        <f>Don_gia_thanh!B87</f>
        <v>Ký hợp đồng với đơn vị thực hiện cuộc bán đấu giá theo quy định</v>
      </c>
      <c r="C12" s="153">
        <v>2</v>
      </c>
      <c r="D12" s="155">
        <f>Don_gia_thanh!G88</f>
        <v>1764720</v>
      </c>
      <c r="E12" s="155">
        <f>Don_gia_thanh!G89</f>
        <v>295000</v>
      </c>
      <c r="F12" s="155"/>
      <c r="G12" s="155"/>
      <c r="H12" s="139">
        <f t="shared" si="0"/>
        <v>4119440</v>
      </c>
      <c r="I12" s="139">
        <f t="shared" si="1"/>
        <v>617916</v>
      </c>
      <c r="J12" s="139">
        <f t="shared" si="2"/>
        <v>4737356</v>
      </c>
      <c r="K12" s="156">
        <v>4</v>
      </c>
    </row>
    <row r="13" spans="1:19" ht="181.5" x14ac:dyDescent="0.25">
      <c r="A13" s="201">
        <v>5</v>
      </c>
      <c r="B13" s="158" t="str">
        <f>Don_gia_thanh!B93</f>
        <v>Phối hợp đơn vị tổ chức đấu giá tài sản thông báo về việc bán đấu giá tài sản; Ban hành Quy chế cuộc bán đấu giá; Thực hiện việc niêm yết đấu giá tài sản và đăng tải thông tin về việc đấu giá tài sản theo quy định; Xét hồ sơ đăng ký tham gia đấu giá; Tổ chức đấu giá quyền sử dụng đất theo quy định; Báo cáo về kết quả thực hiện đấu giá.</v>
      </c>
      <c r="C13" s="157"/>
      <c r="D13" s="147"/>
      <c r="E13" s="147"/>
      <c r="F13" s="147"/>
      <c r="G13" s="147"/>
      <c r="H13" s="139">
        <f t="shared" si="0"/>
        <v>0</v>
      </c>
      <c r="I13" s="139">
        <f t="shared" si="1"/>
        <v>0</v>
      </c>
      <c r="J13" s="139">
        <f t="shared" si="2"/>
        <v>0</v>
      </c>
      <c r="K13" s="156"/>
    </row>
    <row r="14" spans="1:19" ht="132" x14ac:dyDescent="0.25">
      <c r="A14" s="200" t="s">
        <v>76</v>
      </c>
      <c r="B14" s="202" t="str">
        <f>Don_gia_thanh!B94</f>
        <v>Phối hợp đơn vị tổ chức đấu giá tài sản thông báo về việc bán đấu giá tài sản;Ban hành Quy chế cuộc bán đấu giá; Thực hiện việc niêm yết đấu giá tài sản và đăng tải thông tin về việc đấu giá tài sản theo quy định</v>
      </c>
      <c r="C14" s="157">
        <v>4</v>
      </c>
      <c r="D14" s="147">
        <f>Don_gia_thanh!G94</f>
        <v>3416580</v>
      </c>
      <c r="E14" s="147"/>
      <c r="F14" s="147"/>
      <c r="G14" s="147"/>
      <c r="H14" s="139">
        <f t="shared" si="0"/>
        <v>13666320</v>
      </c>
      <c r="I14" s="139">
        <f t="shared" si="1"/>
        <v>2049948</v>
      </c>
      <c r="J14" s="139">
        <f t="shared" si="2"/>
        <v>15716268</v>
      </c>
      <c r="K14" s="156"/>
    </row>
    <row r="15" spans="1:19" ht="33" x14ac:dyDescent="0.25">
      <c r="A15" s="200" t="s">
        <v>69</v>
      </c>
      <c r="B15" s="202" t="str">
        <f>Don_gia_thanh!B95</f>
        <v xml:space="preserve"> Xét hồ sơ đăng ký tham gia đấu giá</v>
      </c>
      <c r="C15" s="157">
        <v>6</v>
      </c>
      <c r="D15" s="147">
        <f>Don_gia_thanh!G96</f>
        <v>4555440</v>
      </c>
      <c r="E15" s="147">
        <f>Don_gia_thanh!G97</f>
        <v>202500</v>
      </c>
      <c r="F15" s="147"/>
      <c r="G15" s="147"/>
      <c r="H15" s="139">
        <f t="shared" si="0"/>
        <v>28547640</v>
      </c>
      <c r="I15" s="139">
        <f t="shared" si="1"/>
        <v>4282146</v>
      </c>
      <c r="J15" s="139">
        <f t="shared" si="2"/>
        <v>32829786</v>
      </c>
      <c r="K15" s="156"/>
    </row>
    <row r="16" spans="1:19" ht="33" x14ac:dyDescent="0.25">
      <c r="A16" s="200" t="s">
        <v>70</v>
      </c>
      <c r="B16" s="202" t="str">
        <f>Don_gia_thanh!B101</f>
        <v>Tổ chức đấu giá quyền sử dụng đất theo quy định</v>
      </c>
      <c r="C16" s="157"/>
      <c r="D16" s="147"/>
      <c r="E16" s="147"/>
      <c r="F16" s="147"/>
      <c r="G16" s="147"/>
      <c r="H16" s="139">
        <f t="shared" si="0"/>
        <v>0</v>
      </c>
      <c r="I16" s="139">
        <f t="shared" si="1"/>
        <v>0</v>
      </c>
      <c r="J16" s="139">
        <f t="shared" si="2"/>
        <v>0</v>
      </c>
      <c r="K16" s="156"/>
    </row>
    <row r="17" spans="1:12" x14ac:dyDescent="0.25">
      <c r="A17" s="200"/>
      <c r="B17" s="150" t="s">
        <v>30</v>
      </c>
      <c r="C17" s="157">
        <v>1</v>
      </c>
      <c r="D17" s="147">
        <f>Don_gia_thanh!G102</f>
        <v>882360</v>
      </c>
      <c r="E17" s="147"/>
      <c r="F17" s="147">
        <f>Don_gia_thanh!G104</f>
        <v>0</v>
      </c>
      <c r="G17" s="147"/>
      <c r="H17" s="139">
        <f t="shared" si="0"/>
        <v>882360</v>
      </c>
      <c r="I17" s="139">
        <f t="shared" si="1"/>
        <v>132354</v>
      </c>
      <c r="J17" s="139">
        <f t="shared" si="2"/>
        <v>1014714</v>
      </c>
      <c r="K17" s="156"/>
    </row>
    <row r="18" spans="1:12" x14ac:dyDescent="0.25">
      <c r="A18" s="200"/>
      <c r="B18" s="154" t="s">
        <v>31</v>
      </c>
      <c r="C18" s="157">
        <v>1</v>
      </c>
      <c r="D18" s="147">
        <f>Don_gia_thanh!G102</f>
        <v>882360</v>
      </c>
      <c r="E18" s="147"/>
      <c r="F18" s="147">
        <f>Don_gia_thanh!G105</f>
        <v>21350</v>
      </c>
      <c r="G18" s="147">
        <f>Don_gia_thanh!G115</f>
        <v>80000</v>
      </c>
      <c r="H18" s="139">
        <f t="shared" si="0"/>
        <v>983710</v>
      </c>
      <c r="I18" s="139">
        <f t="shared" si="1"/>
        <v>147556.5</v>
      </c>
      <c r="J18" s="139">
        <f t="shared" si="2"/>
        <v>1131266.5</v>
      </c>
      <c r="K18" s="156"/>
    </row>
    <row r="19" spans="1:12" x14ac:dyDescent="0.25">
      <c r="A19" s="200"/>
      <c r="B19" s="154" t="s">
        <v>32</v>
      </c>
      <c r="C19" s="157">
        <v>1</v>
      </c>
      <c r="D19" s="147">
        <f>Don_gia_thanh!G102</f>
        <v>882360</v>
      </c>
      <c r="E19" s="147"/>
      <c r="F19" s="147">
        <f>Don_gia_thanh!G106</f>
        <v>29890</v>
      </c>
      <c r="G19" s="147">
        <f>Don_gia_thanh!G115</f>
        <v>80000</v>
      </c>
      <c r="H19" s="139">
        <f t="shared" si="0"/>
        <v>992250</v>
      </c>
      <c r="I19" s="139">
        <f t="shared" si="1"/>
        <v>148837.5</v>
      </c>
      <c r="J19" s="139">
        <f t="shared" si="2"/>
        <v>1141087.5</v>
      </c>
      <c r="K19" s="156"/>
    </row>
    <row r="20" spans="1:12" x14ac:dyDescent="0.25">
      <c r="A20" s="200"/>
      <c r="B20" s="154" t="s">
        <v>33</v>
      </c>
      <c r="C20" s="157">
        <v>1</v>
      </c>
      <c r="D20" s="147">
        <f>Don_gia_thanh!G102</f>
        <v>882360</v>
      </c>
      <c r="E20" s="147"/>
      <c r="F20" s="147">
        <f>Don_gia_thanh!G107</f>
        <v>40565</v>
      </c>
      <c r="G20" s="147">
        <f>Don_gia_thanh!G115</f>
        <v>80000</v>
      </c>
      <c r="H20" s="139">
        <f t="shared" si="0"/>
        <v>1002925</v>
      </c>
      <c r="I20" s="139">
        <f t="shared" si="1"/>
        <v>150438.75</v>
      </c>
      <c r="J20" s="139">
        <f t="shared" si="2"/>
        <v>1153363.75</v>
      </c>
      <c r="K20" s="156"/>
    </row>
    <row r="21" spans="1:12" x14ac:dyDescent="0.25">
      <c r="A21" s="200"/>
      <c r="B21" s="154" t="s">
        <v>138</v>
      </c>
      <c r="C21" s="157">
        <v>1</v>
      </c>
      <c r="D21" s="147">
        <f>Don_gia_thanh!G102</f>
        <v>882360</v>
      </c>
      <c r="E21" s="147"/>
      <c r="F21" s="147">
        <f>Don_gia_thanh!G108</f>
        <v>42700</v>
      </c>
      <c r="G21" s="147">
        <f>Don_gia_thanh!G115</f>
        <v>80000</v>
      </c>
      <c r="H21" s="139">
        <f t="shared" si="0"/>
        <v>1005060</v>
      </c>
      <c r="I21" s="139">
        <f t="shared" si="1"/>
        <v>150759</v>
      </c>
      <c r="J21" s="139">
        <f t="shared" si="2"/>
        <v>1155819</v>
      </c>
      <c r="K21" s="156"/>
    </row>
    <row r="22" spans="1:12" x14ac:dyDescent="0.25">
      <c r="A22" s="200"/>
      <c r="B22" s="154" t="s">
        <v>139</v>
      </c>
      <c r="C22" s="157">
        <v>1</v>
      </c>
      <c r="D22" s="147">
        <f>Don_gia_thanh!G102</f>
        <v>882360</v>
      </c>
      <c r="E22" s="147"/>
      <c r="F22" s="147">
        <f>Don_gia_thanh!G108</f>
        <v>42700</v>
      </c>
      <c r="G22" s="147">
        <f>Don_gia_thanh!G114</f>
        <v>100000</v>
      </c>
      <c r="H22" s="139">
        <f t="shared" si="0"/>
        <v>1025060</v>
      </c>
      <c r="I22" s="139">
        <f t="shared" si="1"/>
        <v>153759</v>
      </c>
      <c r="J22" s="139">
        <f t="shared" si="2"/>
        <v>1178819</v>
      </c>
      <c r="K22" s="156"/>
    </row>
    <row r="23" spans="1:12" x14ac:dyDescent="0.25">
      <c r="A23" s="200"/>
      <c r="B23" s="154" t="s">
        <v>35</v>
      </c>
      <c r="C23" s="157">
        <v>1</v>
      </c>
      <c r="D23" s="147">
        <f>Don_gia_thanh!G102</f>
        <v>882360</v>
      </c>
      <c r="E23" s="147"/>
      <c r="F23" s="147">
        <f>Don_gia_thanh!G109</f>
        <v>51240</v>
      </c>
      <c r="G23" s="147">
        <f>Don_gia_thanh!G114</f>
        <v>100000</v>
      </c>
      <c r="H23" s="139">
        <f t="shared" si="0"/>
        <v>1033600</v>
      </c>
      <c r="I23" s="139">
        <f t="shared" si="1"/>
        <v>155040</v>
      </c>
      <c r="J23" s="139">
        <f t="shared" si="2"/>
        <v>1188640</v>
      </c>
      <c r="K23" s="156"/>
    </row>
    <row r="24" spans="1:12" x14ac:dyDescent="0.25">
      <c r="A24" s="200"/>
      <c r="B24" s="158" t="s">
        <v>36</v>
      </c>
      <c r="C24" s="157">
        <v>1</v>
      </c>
      <c r="D24" s="147">
        <f>Don_gia_thanh!G102</f>
        <v>882360</v>
      </c>
      <c r="E24" s="147"/>
      <c r="F24" s="147">
        <f>Don_gia_thanh!G110</f>
        <v>64050</v>
      </c>
      <c r="G24" s="147">
        <f>Don_gia_thanh!G114</f>
        <v>100000</v>
      </c>
      <c r="H24" s="139">
        <f t="shared" si="0"/>
        <v>1046410</v>
      </c>
      <c r="I24" s="139">
        <f t="shared" si="1"/>
        <v>156961.5</v>
      </c>
      <c r="J24" s="139">
        <f t="shared" si="2"/>
        <v>1203371.5</v>
      </c>
      <c r="K24" s="156"/>
    </row>
    <row r="25" spans="1:12" ht="33" x14ac:dyDescent="0.25">
      <c r="A25" s="200" t="s">
        <v>131</v>
      </c>
      <c r="B25" s="202" t="str">
        <f>Don_gia_thanh!B116</f>
        <v>Báo cáo về kết quả thực hiện đấu giá</v>
      </c>
      <c r="C25" s="157">
        <v>2</v>
      </c>
      <c r="D25" s="147">
        <f>Don_gia_thanh!G117</f>
        <v>1792935</v>
      </c>
      <c r="E25" s="147">
        <f>Don_gia_thanh!G118</f>
        <v>192500</v>
      </c>
      <c r="F25" s="147"/>
      <c r="G25" s="147"/>
      <c r="H25" s="139">
        <f t="shared" si="0"/>
        <v>3970870</v>
      </c>
      <c r="I25" s="139">
        <f t="shared" si="1"/>
        <v>595630.5</v>
      </c>
      <c r="J25" s="139">
        <f t="shared" si="2"/>
        <v>4566500.5</v>
      </c>
      <c r="K25" s="156"/>
    </row>
    <row r="26" spans="1:12" ht="66" x14ac:dyDescent="0.25">
      <c r="A26" s="201">
        <v>6</v>
      </c>
      <c r="B26" s="203" t="str">
        <f>Don_gia_thanh!B121</f>
        <v>Tổ chức ký hợp đồng mua bán tài sản đấu giá theo quy định tại Điều 46 Luật Đấu giá tài sản ngày 17/11/2016</v>
      </c>
      <c r="C26" s="157">
        <v>3</v>
      </c>
      <c r="D26" s="147">
        <f>Don_gia_thanh!G122</f>
        <v>1708290</v>
      </c>
      <c r="E26" s="147">
        <f>Don_gia_thanh!G123</f>
        <v>200000</v>
      </c>
      <c r="F26" s="147"/>
      <c r="G26" s="147"/>
      <c r="H26" s="139">
        <f t="shared" si="0"/>
        <v>5724870</v>
      </c>
      <c r="I26" s="139">
        <f t="shared" si="1"/>
        <v>858730.5</v>
      </c>
      <c r="J26" s="139">
        <f t="shared" si="2"/>
        <v>6583600.5</v>
      </c>
      <c r="K26" s="156"/>
    </row>
    <row r="27" spans="1:12" ht="49.5" x14ac:dyDescent="0.25">
      <c r="A27" s="201">
        <v>7</v>
      </c>
      <c r="B27" s="203" t="str">
        <f>Don_gia_thanh!B126</f>
        <v>Trình cơ quan có thẩm quyền phê duyệt kết quả đấu giá đấu giá quyền sử dụng đất</v>
      </c>
      <c r="C27" s="157">
        <v>4</v>
      </c>
      <c r="D27" s="147">
        <f>Don_gia_thanh!G127</f>
        <v>1792935</v>
      </c>
      <c r="E27" s="147">
        <f>Don_gia_thanh!G128</f>
        <v>192500</v>
      </c>
      <c r="F27" s="147"/>
      <c r="G27" s="147"/>
      <c r="H27" s="139">
        <f t="shared" si="0"/>
        <v>7941740</v>
      </c>
      <c r="I27" s="139">
        <f t="shared" si="1"/>
        <v>1191261</v>
      </c>
      <c r="J27" s="139">
        <f t="shared" si="2"/>
        <v>9133001</v>
      </c>
      <c r="K27" s="156"/>
    </row>
    <row r="28" spans="1:12" ht="33" x14ac:dyDescent="0.25">
      <c r="A28" s="200"/>
      <c r="B28" s="203" t="str">
        <f>Don_gia_thanh!B131</f>
        <v>Nộp tiền sử dụng đất, tiền thuê đất</v>
      </c>
      <c r="C28" s="157">
        <v>1</v>
      </c>
      <c r="D28" s="147">
        <f>Don_gia_thanh!G132</f>
        <v>882360</v>
      </c>
      <c r="E28" s="147">
        <f>Don_gia_thanh!G133</f>
        <v>83000</v>
      </c>
      <c r="F28" s="147"/>
      <c r="G28" s="147"/>
      <c r="H28" s="139">
        <f t="shared" si="0"/>
        <v>965360</v>
      </c>
      <c r="I28" s="139">
        <f t="shared" si="1"/>
        <v>144804</v>
      </c>
      <c r="J28" s="139">
        <f t="shared" si="2"/>
        <v>1110164</v>
      </c>
      <c r="K28" s="156"/>
    </row>
    <row r="29" spans="1:12" ht="49.5" x14ac:dyDescent="0.25">
      <c r="A29" s="201">
        <v>8</v>
      </c>
      <c r="B29" s="203" t="str">
        <f>Don_gia_thanh!B136</f>
        <v>Cấp giấy chứng nhận quyền sử dụng đất, giao đất trên thực địa cho người trúng đấu giá</v>
      </c>
      <c r="C29" s="157">
        <v>1</v>
      </c>
      <c r="D29" s="147">
        <f>Don_gia_thanh!G136</f>
        <v>284715</v>
      </c>
      <c r="E29" s="147"/>
      <c r="F29" s="147"/>
      <c r="G29" s="147"/>
      <c r="H29" s="139">
        <f t="shared" si="0"/>
        <v>284715</v>
      </c>
      <c r="I29" s="139">
        <f t="shared" si="1"/>
        <v>42707.25</v>
      </c>
      <c r="J29" s="139">
        <f t="shared" si="2"/>
        <v>327422.25</v>
      </c>
      <c r="K29" s="156"/>
    </row>
    <row r="30" spans="1:12" x14ac:dyDescent="0.25">
      <c r="A30" s="17"/>
      <c r="B30" s="159"/>
      <c r="C30" s="91"/>
      <c r="D30" s="204"/>
      <c r="E30" s="204">
        <f>SUM(E5:E29)</f>
        <v>2641000</v>
      </c>
      <c r="F30" s="205"/>
      <c r="G30" s="205"/>
      <c r="H30" s="204">
        <f>H5+H6+H7+H9+H10+H11+H12+H14+H15+H17+H25+H26+H27+H28+H29</f>
        <v>123328740</v>
      </c>
      <c r="I30" s="204">
        <f>I5+I6+I7+I9+I10+I11+I12+I14+I15+I17+I25+I26+I27+I28+I29</f>
        <v>18499311</v>
      </c>
      <c r="J30" s="204">
        <f>J5+J6+J7+J9+J10+J11+J12+J14+J15+J17+J25+J26+J27+J28+J29</f>
        <v>141828051</v>
      </c>
      <c r="K30" s="141">
        <f>SUM(K7:K29)</f>
        <v>44</v>
      </c>
    </row>
    <row r="31" spans="1:12" x14ac:dyDescent="0.25">
      <c r="L31" s="2">
        <f>25+18</f>
        <v>43</v>
      </c>
    </row>
  </sheetData>
  <mergeCells count="2">
    <mergeCell ref="A1:J1"/>
    <mergeCell ref="A2:J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workbookViewId="0">
      <selection activeCell="B12" sqref="B12"/>
    </sheetView>
  </sheetViews>
  <sheetFormatPr defaultColWidth="9" defaultRowHeight="16.5" x14ac:dyDescent="0.25"/>
  <cols>
    <col min="1" max="1" width="5.75" style="2" bestFit="1" customWidth="1"/>
    <col min="2" max="2" width="28.875" style="2" customWidth="1"/>
    <col min="3" max="3" width="10.125" style="37" customWidth="1"/>
    <col min="4" max="5" width="9" style="2"/>
    <col min="6" max="6" width="13.875" style="2" customWidth="1"/>
    <col min="7" max="7" width="16.5" style="2" customWidth="1"/>
    <col min="8" max="8" width="9" style="2"/>
    <col min="9" max="9" width="16.125" style="2" customWidth="1"/>
    <col min="10" max="10" width="14" style="142" bestFit="1" customWidth="1"/>
    <col min="11" max="11" width="14" style="142" customWidth="1"/>
    <col min="12" max="13" width="14" style="2" bestFit="1" customWidth="1"/>
    <col min="14" max="14" width="12.25" style="2" bestFit="1" customWidth="1"/>
    <col min="15" max="15" width="11.125" style="2" bestFit="1" customWidth="1"/>
    <col min="16" max="16" width="12.25" style="2" bestFit="1" customWidth="1"/>
    <col min="17" max="17" width="11.125" style="2" bestFit="1" customWidth="1"/>
    <col min="18" max="18" width="12.25" style="2" bestFit="1" customWidth="1"/>
    <col min="19" max="19" width="14" style="2" bestFit="1" customWidth="1"/>
    <col min="20" max="16384" width="9" style="2"/>
  </cols>
  <sheetData>
    <row r="1" spans="1:19" ht="16.5" customHeight="1" x14ac:dyDescent="0.25">
      <c r="A1" s="742" t="s">
        <v>117</v>
      </c>
      <c r="B1" s="742"/>
      <c r="C1" s="742"/>
      <c r="D1" s="742"/>
      <c r="E1" s="742"/>
      <c r="F1" s="742"/>
      <c r="G1" s="742"/>
      <c r="H1" s="742"/>
      <c r="I1" s="742"/>
      <c r="J1" s="742"/>
      <c r="K1" s="130"/>
    </row>
    <row r="2" spans="1:19" ht="36" customHeight="1" x14ac:dyDescent="0.25">
      <c r="A2" s="743" t="s">
        <v>128</v>
      </c>
      <c r="B2" s="744"/>
      <c r="C2" s="744"/>
      <c r="D2" s="744"/>
      <c r="E2" s="744"/>
      <c r="F2" s="744"/>
      <c r="G2" s="744"/>
      <c r="H2" s="744"/>
      <c r="I2" s="744"/>
      <c r="J2" s="744"/>
      <c r="K2" s="131"/>
    </row>
    <row r="3" spans="1:19" x14ac:dyDescent="0.25">
      <c r="A3" s="132"/>
      <c r="B3" s="132"/>
      <c r="C3" s="132"/>
      <c r="D3" s="132"/>
      <c r="E3" s="132"/>
      <c r="F3" s="132"/>
      <c r="G3" s="132"/>
      <c r="H3" s="132"/>
      <c r="I3" s="132"/>
      <c r="J3" s="133" t="s">
        <v>118</v>
      </c>
      <c r="K3" s="134"/>
    </row>
    <row r="4" spans="1:19" ht="33" x14ac:dyDescent="0.25">
      <c r="A4" s="52" t="s">
        <v>0</v>
      </c>
      <c r="B4" s="52" t="s">
        <v>1</v>
      </c>
      <c r="C4" s="53" t="s">
        <v>4</v>
      </c>
      <c r="D4" s="135" t="s">
        <v>119</v>
      </c>
      <c r="E4" s="136" t="s">
        <v>120</v>
      </c>
      <c r="F4" s="136" t="s">
        <v>121</v>
      </c>
      <c r="G4" s="137" t="s">
        <v>122</v>
      </c>
      <c r="H4" s="136" t="s">
        <v>123</v>
      </c>
      <c r="I4" s="136" t="s">
        <v>124</v>
      </c>
      <c r="J4" s="136" t="s">
        <v>78</v>
      </c>
      <c r="K4" s="138"/>
      <c r="M4" s="2">
        <v>18</v>
      </c>
    </row>
    <row r="5" spans="1:19" ht="33" x14ac:dyDescent="0.25">
      <c r="A5" s="4">
        <v>1</v>
      </c>
      <c r="B5" s="5" t="s">
        <v>125</v>
      </c>
      <c r="C5" s="4" t="s">
        <v>27</v>
      </c>
      <c r="D5" s="139">
        <f>[1]PL1!I7</f>
        <v>146079.6</v>
      </c>
      <c r="E5" s="139">
        <f>[1]VL_PA!G8</f>
        <v>10425</v>
      </c>
      <c r="F5" s="140"/>
      <c r="G5" s="140"/>
      <c r="H5" s="139">
        <f>SUM(D5:G5)</f>
        <v>156504.6</v>
      </c>
      <c r="I5" s="139">
        <f>H5*15%</f>
        <v>23475.69</v>
      </c>
      <c r="J5" s="139">
        <f>H5+I5</f>
        <v>179980.29</v>
      </c>
      <c r="K5" s="141"/>
      <c r="M5" s="142">
        <f>J5+J7+J14</f>
        <v>875092.61499999999</v>
      </c>
      <c r="N5" s="142">
        <f>J5+J8+J14</f>
        <v>980127.86499999999</v>
      </c>
      <c r="O5" s="142">
        <f>J5+J9+J14</f>
        <v>1006198.365</v>
      </c>
      <c r="P5" s="142">
        <f>J5+J10+J14</f>
        <v>1032268.865</v>
      </c>
      <c r="Q5" s="142">
        <f>J5+J11+J14</f>
        <v>1058339.365</v>
      </c>
      <c r="R5" s="142">
        <f>J5+J12+J14</f>
        <v>1107409.865</v>
      </c>
      <c r="S5" s="142"/>
    </row>
    <row r="6" spans="1:19" ht="33" x14ac:dyDescent="0.25">
      <c r="A6" s="17">
        <v>2</v>
      </c>
      <c r="B6" s="143" t="s">
        <v>126</v>
      </c>
      <c r="C6" s="17" t="s">
        <v>127</v>
      </c>
      <c r="D6" s="144"/>
      <c r="E6" s="144"/>
      <c r="F6" s="145"/>
      <c r="G6" s="145"/>
      <c r="H6" s="144"/>
      <c r="I6" s="144"/>
      <c r="J6" s="144"/>
      <c r="K6" s="146"/>
      <c r="L6" s="147">
        <f>M5*2*18*12</f>
        <v>378040009.68000001</v>
      </c>
      <c r="M6" s="142">
        <f>M5*K7*12*2</f>
        <v>378040009.68000001</v>
      </c>
      <c r="N6" s="142">
        <f>N5*K8*2*12</f>
        <v>211707618.84</v>
      </c>
      <c r="O6" s="142">
        <f>O5*K9*12*2</f>
        <v>72446282.280000001</v>
      </c>
      <c r="P6" s="142">
        <f>P5*K10*2*12</f>
        <v>173421169.31999999</v>
      </c>
      <c r="Q6" s="142">
        <f>Q5*K11*2*12</f>
        <v>76200434.280000001</v>
      </c>
      <c r="R6" s="142">
        <f>K12*R5*2*12</f>
        <v>106311347.03999999</v>
      </c>
      <c r="S6" s="148">
        <f>SUM(M6:R6)</f>
        <v>1018126861.4399998</v>
      </c>
    </row>
    <row r="7" spans="1:19" x14ac:dyDescent="0.25">
      <c r="A7" s="149"/>
      <c r="B7" s="150" t="s">
        <v>30</v>
      </c>
      <c r="C7" s="149"/>
      <c r="D7" s="151">
        <v>517208</v>
      </c>
      <c r="E7" s="151">
        <v>1280</v>
      </c>
      <c r="F7" s="151">
        <f>[1]Nhien_lieu!F8</f>
        <v>11335</v>
      </c>
      <c r="G7" s="152"/>
      <c r="H7" s="151">
        <f t="shared" ref="H7:H14" si="0">SUM(D7:G7)</f>
        <v>529823</v>
      </c>
      <c r="I7" s="151">
        <f t="shared" ref="I7:I14" si="1">H7*15%</f>
        <v>79473.45</v>
      </c>
      <c r="J7" s="151">
        <f t="shared" ref="J7:J14" si="2">H7+I7</f>
        <v>609296.44999999995</v>
      </c>
      <c r="K7" s="146">
        <v>18</v>
      </c>
      <c r="L7" s="147">
        <f>M5*3*15*12</f>
        <v>472550012.09999996</v>
      </c>
    </row>
    <row r="8" spans="1:19" x14ac:dyDescent="0.25">
      <c r="A8" s="153"/>
      <c r="B8" s="154" t="s">
        <v>31</v>
      </c>
      <c r="C8" s="153"/>
      <c r="D8" s="155">
        <v>517208</v>
      </c>
      <c r="E8" s="155">
        <v>1280</v>
      </c>
      <c r="F8" s="155">
        <f>[1]Nhien_lieu!F9</f>
        <v>22670</v>
      </c>
      <c r="G8" s="155">
        <v>80000</v>
      </c>
      <c r="H8" s="155">
        <f t="shared" si="0"/>
        <v>621158</v>
      </c>
      <c r="I8" s="155">
        <f t="shared" si="1"/>
        <v>93173.7</v>
      </c>
      <c r="J8" s="155">
        <f t="shared" si="2"/>
        <v>714331.7</v>
      </c>
      <c r="K8" s="147">
        <v>9</v>
      </c>
      <c r="L8" s="147">
        <f>M5*4*10*12</f>
        <v>420044455.20000005</v>
      </c>
    </row>
    <row r="9" spans="1:19" x14ac:dyDescent="0.25">
      <c r="A9" s="153"/>
      <c r="B9" s="154" t="s">
        <v>32</v>
      </c>
      <c r="C9" s="153"/>
      <c r="D9" s="155">
        <v>517208</v>
      </c>
      <c r="E9" s="155">
        <v>1280</v>
      </c>
      <c r="F9" s="155">
        <f>[1]Nhien_lieu!F10</f>
        <v>45340</v>
      </c>
      <c r="G9" s="155">
        <v>80000</v>
      </c>
      <c r="H9" s="155">
        <f t="shared" si="0"/>
        <v>643828</v>
      </c>
      <c r="I9" s="155">
        <f t="shared" si="1"/>
        <v>96574.2</v>
      </c>
      <c r="J9" s="155">
        <f t="shared" si="2"/>
        <v>740402.2</v>
      </c>
      <c r="K9" s="156">
        <v>3</v>
      </c>
      <c r="L9" s="142">
        <f>SUM(L6:L8)</f>
        <v>1270634476.98</v>
      </c>
    </row>
    <row r="10" spans="1:19" x14ac:dyDescent="0.25">
      <c r="A10" s="153"/>
      <c r="B10" s="154" t="s">
        <v>33</v>
      </c>
      <c r="C10" s="153"/>
      <c r="D10" s="155">
        <v>517208</v>
      </c>
      <c r="E10" s="155">
        <v>1280</v>
      </c>
      <c r="F10" s="155">
        <f>[1]Nhien_lieu!F11</f>
        <v>68010</v>
      </c>
      <c r="G10" s="155">
        <v>80000</v>
      </c>
      <c r="H10" s="155">
        <f t="shared" si="0"/>
        <v>666498</v>
      </c>
      <c r="I10" s="155">
        <f t="shared" si="1"/>
        <v>99974.7</v>
      </c>
      <c r="J10" s="155">
        <f t="shared" si="2"/>
        <v>766472.7</v>
      </c>
      <c r="K10" s="156">
        <f>4+3</f>
        <v>7</v>
      </c>
    </row>
    <row r="11" spans="1:19" x14ac:dyDescent="0.25">
      <c r="A11" s="153"/>
      <c r="B11" s="154" t="s">
        <v>34</v>
      </c>
      <c r="C11" s="153"/>
      <c r="D11" s="155">
        <v>517208</v>
      </c>
      <c r="E11" s="155">
        <v>1280</v>
      </c>
      <c r="F11" s="155">
        <f>[1]Nhien_lieu!F12</f>
        <v>90680</v>
      </c>
      <c r="G11" s="155">
        <v>80000</v>
      </c>
      <c r="H11" s="155">
        <f t="shared" si="0"/>
        <v>689168</v>
      </c>
      <c r="I11" s="155">
        <f t="shared" si="1"/>
        <v>103375.2</v>
      </c>
      <c r="J11" s="155">
        <f t="shared" si="2"/>
        <v>792543.2</v>
      </c>
      <c r="K11" s="156">
        <f>2+1</f>
        <v>3</v>
      </c>
    </row>
    <row r="12" spans="1:19" x14ac:dyDescent="0.25">
      <c r="A12" s="153"/>
      <c r="B12" s="154" t="s">
        <v>35</v>
      </c>
      <c r="C12" s="153"/>
      <c r="D12" s="155">
        <v>517208</v>
      </c>
      <c r="E12" s="155">
        <v>1280</v>
      </c>
      <c r="F12" s="155">
        <f>[1]Nhien_lieu!F13</f>
        <v>113350</v>
      </c>
      <c r="G12" s="155">
        <v>100000</v>
      </c>
      <c r="H12" s="155">
        <f t="shared" si="0"/>
        <v>731838</v>
      </c>
      <c r="I12" s="155">
        <f t="shared" si="1"/>
        <v>109775.7</v>
      </c>
      <c r="J12" s="155">
        <f t="shared" si="2"/>
        <v>841613.7</v>
      </c>
      <c r="K12" s="156">
        <v>4</v>
      </c>
    </row>
    <row r="13" spans="1:19" x14ac:dyDescent="0.25">
      <c r="A13" s="157"/>
      <c r="B13" s="158" t="s">
        <v>36</v>
      </c>
      <c r="C13" s="157"/>
      <c r="D13" s="147">
        <v>517208</v>
      </c>
      <c r="E13" s="147">
        <v>1280</v>
      </c>
      <c r="F13" s="147">
        <f>[1]Nhien_lieu!F14</f>
        <v>136020</v>
      </c>
      <c r="G13" s="147">
        <v>100000</v>
      </c>
      <c r="H13" s="147">
        <f t="shared" si="0"/>
        <v>754508</v>
      </c>
      <c r="I13" s="147">
        <f t="shared" si="1"/>
        <v>113176.2</v>
      </c>
      <c r="J13" s="147">
        <f t="shared" si="2"/>
        <v>867684.2</v>
      </c>
      <c r="K13" s="156"/>
    </row>
    <row r="14" spans="1:19" ht="33" x14ac:dyDescent="0.25">
      <c r="A14" s="17">
        <v>3</v>
      </c>
      <c r="B14" s="159" t="s">
        <v>13</v>
      </c>
      <c r="C14" s="91" t="s">
        <v>27</v>
      </c>
      <c r="D14" s="160">
        <f>[1]PL1!I9</f>
        <v>63697.5</v>
      </c>
      <c r="E14" s="160">
        <f>[1]VL_BC!G11</f>
        <v>10925</v>
      </c>
      <c r="F14" s="161"/>
      <c r="G14" s="161"/>
      <c r="H14" s="160">
        <f t="shared" si="0"/>
        <v>74622.5</v>
      </c>
      <c r="I14" s="160">
        <f t="shared" si="1"/>
        <v>11193.375</v>
      </c>
      <c r="J14" s="160">
        <f t="shared" si="2"/>
        <v>85815.875</v>
      </c>
      <c r="K14" s="141">
        <f>SUM(K7:K13)</f>
        <v>44</v>
      </c>
    </row>
    <row r="15" spans="1:19" x14ac:dyDescent="0.25">
      <c r="L15" s="2">
        <f>25+18</f>
        <v>43</v>
      </c>
    </row>
  </sheetData>
  <mergeCells count="2">
    <mergeCell ref="A1:J1"/>
    <mergeCell ref="A2:J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34" zoomScaleNormal="100" workbookViewId="0">
      <selection sqref="A1:XFD1048576"/>
    </sheetView>
  </sheetViews>
  <sheetFormatPr defaultColWidth="9" defaultRowHeight="16.5" x14ac:dyDescent="0.25"/>
  <cols>
    <col min="1" max="1" width="5.75" style="2" bestFit="1" customWidth="1"/>
    <col min="2" max="2" width="28.375" style="2" customWidth="1"/>
    <col min="3" max="3" width="8.75" style="37" customWidth="1"/>
    <col min="4" max="4" width="10.625" style="2" customWidth="1"/>
    <col min="5" max="5" width="10.25" style="2" customWidth="1"/>
    <col min="6" max="6" width="11.25" style="2" customWidth="1"/>
    <col min="7" max="7" width="11.5" style="2" customWidth="1"/>
    <col min="8" max="8" width="10.25" style="2" customWidth="1"/>
    <col min="9" max="9" width="14.125" style="2" customWidth="1"/>
    <col min="10" max="10" width="12.375" style="142" customWidth="1"/>
    <col min="11" max="11" width="11.125" style="286" bestFit="1" customWidth="1"/>
    <col min="12" max="12" width="10" style="286" bestFit="1" customWidth="1"/>
    <col min="13" max="16384" width="9" style="2"/>
  </cols>
  <sheetData>
    <row r="1" spans="1:12" x14ac:dyDescent="0.25">
      <c r="A1" s="742" t="s">
        <v>117</v>
      </c>
      <c r="B1" s="742"/>
      <c r="C1" s="742"/>
      <c r="D1" s="742"/>
      <c r="E1" s="742"/>
      <c r="F1" s="742"/>
      <c r="G1" s="742"/>
      <c r="H1" s="742"/>
      <c r="I1" s="742"/>
      <c r="J1" s="742"/>
    </row>
    <row r="2" spans="1:12" x14ac:dyDescent="0.25">
      <c r="A2" s="743" t="s">
        <v>128</v>
      </c>
      <c r="B2" s="744"/>
      <c r="C2" s="744"/>
      <c r="D2" s="744"/>
      <c r="E2" s="744"/>
      <c r="F2" s="744"/>
      <c r="G2" s="744"/>
      <c r="H2" s="744"/>
      <c r="I2" s="744"/>
      <c r="J2" s="744"/>
    </row>
    <row r="3" spans="1:12" x14ac:dyDescent="0.25">
      <c r="A3" s="132"/>
      <c r="B3" s="132"/>
      <c r="C3" s="132"/>
      <c r="D3" s="132"/>
      <c r="E3" s="132"/>
      <c r="F3" s="132"/>
      <c r="G3" s="132"/>
      <c r="H3" s="132"/>
      <c r="I3" s="132"/>
      <c r="J3" s="133" t="s">
        <v>118</v>
      </c>
    </row>
    <row r="4" spans="1:12" ht="31.5" x14ac:dyDescent="0.25">
      <c r="A4" s="250" t="s">
        <v>0</v>
      </c>
      <c r="B4" s="250" t="s">
        <v>1</v>
      </c>
      <c r="C4" s="251" t="s">
        <v>140</v>
      </c>
      <c r="D4" s="252" t="s">
        <v>119</v>
      </c>
      <c r="E4" s="253" t="s">
        <v>120</v>
      </c>
      <c r="F4" s="253" t="s">
        <v>121</v>
      </c>
      <c r="G4" s="254" t="s">
        <v>122</v>
      </c>
      <c r="H4" s="253" t="s">
        <v>123</v>
      </c>
      <c r="I4" s="253" t="s">
        <v>124</v>
      </c>
      <c r="J4" s="253" t="s">
        <v>78</v>
      </c>
    </row>
    <row r="5" spans="1:12" x14ac:dyDescent="0.25">
      <c r="A5" s="255" t="s">
        <v>142</v>
      </c>
      <c r="B5" s="256" t="s">
        <v>143</v>
      </c>
      <c r="C5" s="257"/>
      <c r="D5" s="258"/>
      <c r="E5" s="259"/>
      <c r="F5" s="259"/>
      <c r="G5" s="260"/>
      <c r="H5" s="259"/>
      <c r="I5" s="259"/>
      <c r="J5" s="259"/>
    </row>
    <row r="6" spans="1:12" ht="63" x14ac:dyDescent="0.25">
      <c r="A6" s="261">
        <v>1</v>
      </c>
      <c r="B6" s="262" t="str">
        <f>Don_gia_PA!B2</f>
        <v>Kiểm tra lại ranh giới, hiện trạng sử dụng khu đất và phối hợp với địa phương xử lý một số vướng mắc phát sinh (nếu có)</v>
      </c>
      <c r="C6" s="257"/>
      <c r="D6" s="258"/>
      <c r="E6" s="259"/>
      <c r="F6" s="259"/>
      <c r="G6" s="259"/>
      <c r="H6" s="259"/>
      <c r="I6" s="259"/>
      <c r="J6" s="259"/>
    </row>
    <row r="7" spans="1:12" x14ac:dyDescent="0.25">
      <c r="A7" s="263"/>
      <c r="B7" s="264" t="s">
        <v>30</v>
      </c>
      <c r="C7" s="265">
        <v>1</v>
      </c>
      <c r="D7" s="242">
        <f>Don_gia_PA!F3</f>
        <v>569430</v>
      </c>
      <c r="E7" s="243">
        <f>Don_gia_PA!G4</f>
        <v>102000</v>
      </c>
      <c r="F7" s="243">
        <f>Don_gia_PA!G9</f>
        <v>0</v>
      </c>
      <c r="G7" s="243"/>
      <c r="H7" s="266">
        <f>(D7+E7+F7+G7)</f>
        <v>671430</v>
      </c>
      <c r="I7" s="266">
        <f t="shared" ref="I7:I18" si="0">H7*15%</f>
        <v>100714.5</v>
      </c>
      <c r="J7" s="266">
        <f>H7+I7</f>
        <v>772144.5</v>
      </c>
      <c r="K7" s="287">
        <f>J7+J15+J16+J17+J18</f>
        <v>14736381.75</v>
      </c>
    </row>
    <row r="8" spans="1:12" x14ac:dyDescent="0.25">
      <c r="A8" s="263"/>
      <c r="B8" s="264" t="s">
        <v>31</v>
      </c>
      <c r="C8" s="265">
        <v>1</v>
      </c>
      <c r="D8" s="242">
        <f>Don_gia_PA!G3</f>
        <v>1138860</v>
      </c>
      <c r="E8" s="243">
        <f>Don_gia_PA!G4</f>
        <v>102000</v>
      </c>
      <c r="F8" s="243">
        <f>Don_gia_PA!G10</f>
        <v>21350</v>
      </c>
      <c r="G8" s="243">
        <v>80000</v>
      </c>
      <c r="H8" s="266">
        <f t="shared" ref="H8:H18" si="1">(D8+E8+F8+G8)</f>
        <v>1342210</v>
      </c>
      <c r="I8" s="266">
        <f t="shared" si="0"/>
        <v>201331.5</v>
      </c>
      <c r="J8" s="266">
        <f t="shared" ref="J8:J18" si="2">H8+I8</f>
        <v>1543541.5</v>
      </c>
    </row>
    <row r="9" spans="1:12" x14ac:dyDescent="0.25">
      <c r="A9" s="263"/>
      <c r="B9" s="264" t="s">
        <v>32</v>
      </c>
      <c r="C9" s="265">
        <v>1</v>
      </c>
      <c r="D9" s="242">
        <f>Don_gia_PA!G3</f>
        <v>1138860</v>
      </c>
      <c r="E9" s="243">
        <f>Don_gia_PA!G4</f>
        <v>102000</v>
      </c>
      <c r="F9" s="243">
        <f>Don_gia_PA!G11</f>
        <v>29890</v>
      </c>
      <c r="G9" s="243">
        <v>80000</v>
      </c>
      <c r="H9" s="266">
        <f t="shared" si="1"/>
        <v>1350750</v>
      </c>
      <c r="I9" s="266">
        <f t="shared" si="0"/>
        <v>202612.5</v>
      </c>
      <c r="J9" s="266">
        <f t="shared" si="2"/>
        <v>1553362.5</v>
      </c>
    </row>
    <row r="10" spans="1:12" x14ac:dyDescent="0.25">
      <c r="A10" s="263"/>
      <c r="B10" s="264" t="s">
        <v>33</v>
      </c>
      <c r="C10" s="265">
        <v>1</v>
      </c>
      <c r="D10" s="242">
        <f>Don_gia_PA!G3</f>
        <v>1138860</v>
      </c>
      <c r="E10" s="243">
        <f>Don_gia_PA!G4</f>
        <v>102000</v>
      </c>
      <c r="F10" s="243">
        <f>Don_gia_PA!G12</f>
        <v>40565</v>
      </c>
      <c r="G10" s="243">
        <v>80000</v>
      </c>
      <c r="H10" s="266">
        <f t="shared" si="1"/>
        <v>1361425</v>
      </c>
      <c r="I10" s="266">
        <f t="shared" si="0"/>
        <v>204213.75</v>
      </c>
      <c r="J10" s="266">
        <f t="shared" si="2"/>
        <v>1565638.75</v>
      </c>
    </row>
    <row r="11" spans="1:12" x14ac:dyDescent="0.25">
      <c r="A11" s="263"/>
      <c r="B11" s="264" t="s">
        <v>138</v>
      </c>
      <c r="C11" s="265">
        <v>1</v>
      </c>
      <c r="D11" s="242">
        <f>Don_gia_PA!G3</f>
        <v>1138860</v>
      </c>
      <c r="E11" s="243">
        <f>Don_gia_PA!G4</f>
        <v>102000</v>
      </c>
      <c r="F11" s="243">
        <f>Don_gia_PA!G13</f>
        <v>42700</v>
      </c>
      <c r="G11" s="243">
        <v>80000</v>
      </c>
      <c r="H11" s="266">
        <f t="shared" si="1"/>
        <v>1363560</v>
      </c>
      <c r="I11" s="266">
        <f t="shared" si="0"/>
        <v>204534</v>
      </c>
      <c r="J11" s="266">
        <f t="shared" si="2"/>
        <v>1568094</v>
      </c>
    </row>
    <row r="12" spans="1:12" x14ac:dyDescent="0.25">
      <c r="A12" s="263"/>
      <c r="B12" s="264" t="s">
        <v>139</v>
      </c>
      <c r="C12" s="265">
        <v>1</v>
      </c>
      <c r="D12" s="242">
        <f>Don_gia_PA!G3</f>
        <v>1138860</v>
      </c>
      <c r="E12" s="243">
        <f>Don_gia_PA!G4</f>
        <v>102000</v>
      </c>
      <c r="F12" s="243">
        <f>Don_gia_PA!G13</f>
        <v>42700</v>
      </c>
      <c r="G12" s="243">
        <v>100000</v>
      </c>
      <c r="H12" s="266">
        <f t="shared" si="1"/>
        <v>1383560</v>
      </c>
      <c r="I12" s="266">
        <f t="shared" si="0"/>
        <v>207534</v>
      </c>
      <c r="J12" s="266">
        <f t="shared" si="2"/>
        <v>1591094</v>
      </c>
    </row>
    <row r="13" spans="1:12" x14ac:dyDescent="0.25">
      <c r="A13" s="263"/>
      <c r="B13" s="264" t="s">
        <v>35</v>
      </c>
      <c r="C13" s="265">
        <v>1</v>
      </c>
      <c r="D13" s="242">
        <f>Don_gia_PA!G3</f>
        <v>1138860</v>
      </c>
      <c r="E13" s="243">
        <f>Don_gia_PA!G4</f>
        <v>102000</v>
      </c>
      <c r="F13" s="243">
        <f>Don_gia_PA!G14</f>
        <v>51240</v>
      </c>
      <c r="G13" s="243">
        <v>100000</v>
      </c>
      <c r="H13" s="266">
        <f t="shared" si="1"/>
        <v>1392100</v>
      </c>
      <c r="I13" s="266">
        <f t="shared" si="0"/>
        <v>208815</v>
      </c>
      <c r="J13" s="266">
        <f t="shared" si="2"/>
        <v>1600915</v>
      </c>
    </row>
    <row r="14" spans="1:12" x14ac:dyDescent="0.25">
      <c r="A14" s="267"/>
      <c r="B14" s="268" t="s">
        <v>36</v>
      </c>
      <c r="C14" s="269">
        <v>1</v>
      </c>
      <c r="D14" s="247">
        <f>Don_gia_PA!G3</f>
        <v>1138860</v>
      </c>
      <c r="E14" s="248">
        <f>Don_gia_PA!G4</f>
        <v>102000</v>
      </c>
      <c r="F14" s="248">
        <f>Don_gia_PA!G15</f>
        <v>64050</v>
      </c>
      <c r="G14" s="248">
        <v>100000</v>
      </c>
      <c r="H14" s="266">
        <f t="shared" si="1"/>
        <v>1404910</v>
      </c>
      <c r="I14" s="270">
        <f t="shared" si="0"/>
        <v>210736.5</v>
      </c>
      <c r="J14" s="270">
        <f t="shared" si="2"/>
        <v>1615646.5</v>
      </c>
    </row>
    <row r="15" spans="1:12" ht="31.5" x14ac:dyDescent="0.25">
      <c r="A15" s="271">
        <v>2</v>
      </c>
      <c r="B15" s="272" t="str">
        <f>Don_gia_PA!B21</f>
        <v>Thu thập, rà soát hồ sơ, cơ sở pháp lý để lập Phương án</v>
      </c>
      <c r="C15" s="273">
        <v>6</v>
      </c>
      <c r="D15" s="279">
        <f>Don_gia_PA!G22</f>
        <v>1708290</v>
      </c>
      <c r="E15" s="274">
        <f>Don_gia_PA!G23</f>
        <v>204500</v>
      </c>
      <c r="F15" s="253"/>
      <c r="G15" s="253"/>
      <c r="H15" s="266">
        <f t="shared" si="1"/>
        <v>1912790</v>
      </c>
      <c r="I15" s="275">
        <f t="shared" si="0"/>
        <v>286918.5</v>
      </c>
      <c r="J15" s="275">
        <f t="shared" si="2"/>
        <v>2199708.5</v>
      </c>
    </row>
    <row r="16" spans="1:12" ht="31.5" x14ac:dyDescent="0.25">
      <c r="A16" s="271">
        <v>3</v>
      </c>
      <c r="B16" s="272" t="str">
        <f>Don_gia_PA!B28</f>
        <v>Dự thảo Phương án lấy ý kiến các sở, ngành liên quan</v>
      </c>
      <c r="C16" s="273">
        <v>6</v>
      </c>
      <c r="D16" s="279">
        <f>Don_gia_PA!G29</f>
        <v>5124870</v>
      </c>
      <c r="E16" s="274">
        <f>Don_gia_PA!G30</f>
        <v>549500</v>
      </c>
      <c r="F16" s="253"/>
      <c r="G16" s="253"/>
      <c r="H16" s="266">
        <f t="shared" si="1"/>
        <v>5674370</v>
      </c>
      <c r="I16" s="275">
        <f t="shared" si="0"/>
        <v>851155.5</v>
      </c>
      <c r="J16" s="275">
        <f t="shared" si="2"/>
        <v>6525525.5</v>
      </c>
      <c r="L16" s="288">
        <f>E7+E15+E16+E17+E18</f>
        <v>1341000</v>
      </c>
    </row>
    <row r="17" spans="1:10" s="2" customFormat="1" ht="31.5" x14ac:dyDescent="0.25">
      <c r="A17" s="271">
        <v>4</v>
      </c>
      <c r="B17" s="272" t="str">
        <f>Don_gia_PA!B35</f>
        <v>Tổng hợp ý kiến, hoàn chỉnh phương án</v>
      </c>
      <c r="C17" s="273">
        <v>3</v>
      </c>
      <c r="D17" s="279">
        <f>Don_gia_PA!G36</f>
        <v>3501225</v>
      </c>
      <c r="E17" s="274">
        <f>Don_gia_PA!G37</f>
        <v>292500</v>
      </c>
      <c r="F17" s="253"/>
      <c r="G17" s="253"/>
      <c r="H17" s="266">
        <f t="shared" si="1"/>
        <v>3793725</v>
      </c>
      <c r="I17" s="275">
        <f t="shared" si="0"/>
        <v>569058.75</v>
      </c>
      <c r="J17" s="275">
        <f t="shared" si="2"/>
        <v>4362783.75</v>
      </c>
    </row>
    <row r="18" spans="1:10" s="2" customFormat="1" ht="31.5" x14ac:dyDescent="0.25">
      <c r="A18" s="271">
        <v>5</v>
      </c>
      <c r="B18" s="272" t="str">
        <f>Don_gia_PA!B40</f>
        <v>Trình cấp thẩm quyền phê duyệt phương án</v>
      </c>
      <c r="C18" s="273">
        <v>1</v>
      </c>
      <c r="D18" s="279">
        <f>Don_gia_PA!G41</f>
        <v>569430</v>
      </c>
      <c r="E18" s="274">
        <f>Don_gia_PA!G42</f>
        <v>192500</v>
      </c>
      <c r="F18" s="253"/>
      <c r="G18" s="253"/>
      <c r="H18" s="266">
        <f t="shared" si="1"/>
        <v>761930</v>
      </c>
      <c r="I18" s="275">
        <f t="shared" si="0"/>
        <v>114289.5</v>
      </c>
      <c r="J18" s="275">
        <f t="shared" si="2"/>
        <v>876219.5</v>
      </c>
    </row>
    <row r="19" spans="1:10" s="2" customFormat="1" ht="31.5" x14ac:dyDescent="0.25">
      <c r="A19" s="250" t="s">
        <v>144</v>
      </c>
      <c r="B19" s="280" t="s">
        <v>133</v>
      </c>
      <c r="C19" s="251"/>
      <c r="D19" s="252"/>
      <c r="E19" s="253"/>
      <c r="F19" s="253"/>
      <c r="G19" s="253"/>
      <c r="H19" s="253"/>
      <c r="I19" s="253"/>
      <c r="J19" s="253"/>
    </row>
    <row r="20" spans="1:10" s="2" customFormat="1" x14ac:dyDescent="0.25">
      <c r="A20" s="250" t="s">
        <v>145</v>
      </c>
      <c r="B20" s="280" t="s">
        <v>146</v>
      </c>
      <c r="C20" s="251"/>
      <c r="D20" s="252"/>
      <c r="E20" s="253"/>
      <c r="F20" s="253"/>
      <c r="G20" s="253"/>
      <c r="H20" s="253"/>
      <c r="I20" s="253"/>
      <c r="J20" s="253"/>
    </row>
    <row r="21" spans="1:10" s="2" customFormat="1" ht="31.5" x14ac:dyDescent="0.25">
      <c r="A21" s="281">
        <v>1</v>
      </c>
      <c r="B21" s="282" t="str">
        <f>Don_gia_thanh!B45</f>
        <v>Chuẩn bị hồ sơ đấu giá quyền sử dụng đất</v>
      </c>
      <c r="C21" s="281">
        <v>4</v>
      </c>
      <c r="D21" s="275">
        <f>Don_gia_thanh!G46</f>
        <v>3529440</v>
      </c>
      <c r="E21" s="275">
        <f>Don_gia_thanh!G47</f>
        <v>295000</v>
      </c>
      <c r="F21" s="283"/>
      <c r="G21" s="283"/>
      <c r="H21" s="266">
        <f t="shared" ref="H21:H45" si="3">(D21+E21+F21+G21)</f>
        <v>3824440</v>
      </c>
      <c r="I21" s="275">
        <f>H21*15%</f>
        <v>573666</v>
      </c>
      <c r="J21" s="275">
        <f>H21+I21</f>
        <v>4398106</v>
      </c>
    </row>
    <row r="22" spans="1:10" s="2" customFormat="1" ht="31.5" x14ac:dyDescent="0.25">
      <c r="A22" s="273">
        <v>2</v>
      </c>
      <c r="B22" s="276" t="str">
        <f>Don_gia_thanh!B51</f>
        <v>Trình cơ quan có thẩm quyền quyết định đấu giá quyền sử dụng đất.</v>
      </c>
      <c r="C22" s="281">
        <v>1</v>
      </c>
      <c r="D22" s="277">
        <f>Don_gia_thanh!G52</f>
        <v>597645</v>
      </c>
      <c r="E22" s="277">
        <f>Don_gia_thanh!G53</f>
        <v>75500</v>
      </c>
      <c r="F22" s="278"/>
      <c r="G22" s="278"/>
      <c r="H22" s="266">
        <f t="shared" si="3"/>
        <v>673145</v>
      </c>
      <c r="I22" s="275">
        <f t="shared" ref="I22:I45" si="4">H22*15%</f>
        <v>100971.75</v>
      </c>
      <c r="J22" s="275">
        <f t="shared" ref="J22:J45" si="5">H22+I22</f>
        <v>774116.75</v>
      </c>
    </row>
    <row r="23" spans="1:10" s="2" customFormat="1" ht="108.75" customHeight="1" x14ac:dyDescent="0.25">
      <c r="A23" s="273">
        <v>3</v>
      </c>
      <c r="B23" s="237" t="str">
        <f>Don_gia_thanh!B56</f>
        <v>Tổ chức thực hiện xác định giá khởi điểm trình cấp có thẩm quyền phê duyệt giá khởi điểm của thửa đất đấu giá</v>
      </c>
      <c r="C23" s="281">
        <v>8</v>
      </c>
      <c r="D23" s="277">
        <f>Don_gia_thanh!G57</f>
        <v>1138860</v>
      </c>
      <c r="E23" s="277">
        <f>Don_gia_thanh!G58</f>
        <v>290000</v>
      </c>
      <c r="F23" s="277"/>
      <c r="G23" s="278"/>
      <c r="H23" s="266">
        <f t="shared" si="3"/>
        <v>1428860</v>
      </c>
      <c r="I23" s="275">
        <f t="shared" si="4"/>
        <v>214329</v>
      </c>
      <c r="J23" s="275">
        <f t="shared" si="5"/>
        <v>1643189</v>
      </c>
    </row>
    <row r="24" spans="1:10" s="2" customFormat="1" ht="63" x14ac:dyDescent="0.25">
      <c r="A24" s="273">
        <v>4</v>
      </c>
      <c r="B24" s="237" t="str">
        <f>Don_gia_thanh!B69</f>
        <v>Lựa chọn tổ chức đấu giá tài sản theo Thông tư số 02/2022/TT-BTP ngày 08/02/2022 của Bộ trưởng Bộ Tư pháp.</v>
      </c>
      <c r="C24" s="273"/>
      <c r="D24" s="277"/>
      <c r="E24" s="277"/>
      <c r="F24" s="277"/>
      <c r="G24" s="277"/>
      <c r="H24" s="266">
        <f t="shared" si="3"/>
        <v>0</v>
      </c>
      <c r="I24" s="275">
        <f t="shared" si="4"/>
        <v>0</v>
      </c>
      <c r="J24" s="275">
        <f t="shared" si="5"/>
        <v>0</v>
      </c>
    </row>
    <row r="25" spans="1:10" s="2" customFormat="1" ht="47.25" x14ac:dyDescent="0.25">
      <c r="A25" s="284" t="s">
        <v>58</v>
      </c>
      <c r="B25" s="237" t="str">
        <f>Don_gia_thanh!B70</f>
        <v xml:space="preserve">Lập hồ sơ, ban hành khung tiêu chí và thông báo công khai tiêu chí lựa chọn tổ chức đấu giá tài sản </v>
      </c>
      <c r="C25" s="273">
        <v>4</v>
      </c>
      <c r="D25" s="277">
        <f>Don_gia_thanh!G71</f>
        <v>3416580</v>
      </c>
      <c r="E25" s="277">
        <f>Don_gia_thanh!G72</f>
        <v>502500</v>
      </c>
      <c r="F25" s="277"/>
      <c r="G25" s="277"/>
      <c r="H25" s="266">
        <f t="shared" si="3"/>
        <v>3919080</v>
      </c>
      <c r="I25" s="275">
        <f t="shared" si="4"/>
        <v>587862</v>
      </c>
      <c r="J25" s="275">
        <f t="shared" si="5"/>
        <v>4506942</v>
      </c>
    </row>
    <row r="26" spans="1:10" s="2" customFormat="1" ht="47.25" x14ac:dyDescent="0.25">
      <c r="A26" s="284" t="s">
        <v>61</v>
      </c>
      <c r="B26" s="236" t="str">
        <f>Don_gia_thanh!B76</f>
        <v>Đánh giá, chấm điểm theo tiêu chí lựa chọn tổ chức đấu giá tài sản</v>
      </c>
      <c r="C26" s="273">
        <v>3</v>
      </c>
      <c r="D26" s="277">
        <f>Don_gia_thanh!G77</f>
        <v>4270725</v>
      </c>
      <c r="E26" s="277">
        <f>Don_gia_thanh!G78</f>
        <v>212500</v>
      </c>
      <c r="F26" s="277"/>
      <c r="G26" s="277"/>
      <c r="H26" s="266">
        <f t="shared" si="3"/>
        <v>4483225</v>
      </c>
      <c r="I26" s="275">
        <f t="shared" si="4"/>
        <v>672483.75</v>
      </c>
      <c r="J26" s="275">
        <f t="shared" si="5"/>
        <v>5155708.75</v>
      </c>
    </row>
    <row r="27" spans="1:10" s="2" customFormat="1" ht="31.5" x14ac:dyDescent="0.25">
      <c r="A27" s="284" t="s">
        <v>62</v>
      </c>
      <c r="B27" s="236" t="str">
        <f>Don_gia_thanh!B82</f>
        <v>Thông báo kết quả lựa chọn tổ chức đấu giá tài sản</v>
      </c>
      <c r="C27" s="273">
        <v>1</v>
      </c>
      <c r="D27" s="277">
        <f>Don_gia_thanh!G83</f>
        <v>597645</v>
      </c>
      <c r="E27" s="277">
        <f>Don_gia_thanh!G84</f>
        <v>100000</v>
      </c>
      <c r="F27" s="277"/>
      <c r="G27" s="277"/>
      <c r="H27" s="266">
        <f t="shared" si="3"/>
        <v>697645</v>
      </c>
      <c r="I27" s="275">
        <f t="shared" si="4"/>
        <v>104646.75</v>
      </c>
      <c r="J27" s="275">
        <f t="shared" si="5"/>
        <v>802291.75</v>
      </c>
    </row>
    <row r="28" spans="1:10" s="2" customFormat="1" ht="31.5" x14ac:dyDescent="0.25">
      <c r="A28" s="284" t="s">
        <v>63</v>
      </c>
      <c r="B28" s="237" t="str">
        <f>Don_gia_thanh!B87</f>
        <v>Ký hợp đồng với đơn vị thực hiện cuộc bán đấu giá theo quy định</v>
      </c>
      <c r="C28" s="273">
        <v>2</v>
      </c>
      <c r="D28" s="277">
        <f>Don_gia_thanh!G88</f>
        <v>1764720</v>
      </c>
      <c r="E28" s="277">
        <f>Don_gia_thanh!G89</f>
        <v>295000</v>
      </c>
      <c r="F28" s="277"/>
      <c r="G28" s="277"/>
      <c r="H28" s="266">
        <f t="shared" si="3"/>
        <v>2059720</v>
      </c>
      <c r="I28" s="275">
        <f t="shared" si="4"/>
        <v>308958</v>
      </c>
      <c r="J28" s="275">
        <f t="shared" si="5"/>
        <v>2368678</v>
      </c>
    </row>
    <row r="29" spans="1:10" s="2" customFormat="1" ht="171.75" customHeight="1" x14ac:dyDescent="0.25">
      <c r="A29" s="273">
        <v>5</v>
      </c>
      <c r="B29" s="237" t="str">
        <f>Don_gia_thanh!B93</f>
        <v>Phối hợp đơn vị tổ chức đấu giá tài sản thông báo về việc bán đấu giá tài sản; Ban hành Quy chế cuộc bán đấu giá; Thực hiện việc niêm yết đấu giá tài sản và đăng tải thông tin về việc đấu giá tài sản theo quy định; Xét hồ sơ đăng ký tham gia đấu giá; Tổ chức đấu giá quyền sử dụng đất theo quy định; Báo cáo về kết quả thực hiện đấu giá.</v>
      </c>
      <c r="C29" s="273"/>
      <c r="D29" s="277"/>
      <c r="E29" s="277"/>
      <c r="F29" s="277"/>
      <c r="G29" s="277"/>
      <c r="H29" s="266">
        <f t="shared" si="3"/>
        <v>0</v>
      </c>
      <c r="I29" s="275">
        <f t="shared" si="4"/>
        <v>0</v>
      </c>
      <c r="J29" s="275">
        <f t="shared" si="5"/>
        <v>0</v>
      </c>
    </row>
    <row r="30" spans="1:10" s="2" customFormat="1" ht="110.25" x14ac:dyDescent="0.25">
      <c r="A30" s="284" t="s">
        <v>76</v>
      </c>
      <c r="B30" s="285" t="str">
        <f>Don_gia_thanh!B94</f>
        <v>Phối hợp đơn vị tổ chức đấu giá tài sản thông báo về việc bán đấu giá tài sản;Ban hành Quy chế cuộc bán đấu giá; Thực hiện việc niêm yết đấu giá tài sản và đăng tải thông tin về việc đấu giá tài sản theo quy định</v>
      </c>
      <c r="C30" s="273">
        <v>4</v>
      </c>
      <c r="D30" s="277">
        <f>Don_gia_thanh!G94</f>
        <v>3416580</v>
      </c>
      <c r="E30" s="277"/>
      <c r="F30" s="277"/>
      <c r="G30" s="277"/>
      <c r="H30" s="266">
        <f t="shared" si="3"/>
        <v>3416580</v>
      </c>
      <c r="I30" s="275">
        <f t="shared" si="4"/>
        <v>512487</v>
      </c>
      <c r="J30" s="275">
        <f t="shared" si="5"/>
        <v>3929067</v>
      </c>
    </row>
    <row r="31" spans="1:10" s="2" customFormat="1" ht="31.5" x14ac:dyDescent="0.25">
      <c r="A31" s="284" t="s">
        <v>69</v>
      </c>
      <c r="B31" s="285" t="str">
        <f>Don_gia_thanh!B95</f>
        <v xml:space="preserve"> Xét hồ sơ đăng ký tham gia đấu giá</v>
      </c>
      <c r="C31" s="273">
        <v>6</v>
      </c>
      <c r="D31" s="277">
        <f>Don_gia_thanh!G96</f>
        <v>4555440</v>
      </c>
      <c r="E31" s="277">
        <f>Don_gia_thanh!G97</f>
        <v>202500</v>
      </c>
      <c r="F31" s="277"/>
      <c r="G31" s="277"/>
      <c r="H31" s="266">
        <f t="shared" si="3"/>
        <v>4757940</v>
      </c>
      <c r="I31" s="275">
        <f t="shared" si="4"/>
        <v>713691</v>
      </c>
      <c r="J31" s="275">
        <f t="shared" si="5"/>
        <v>5471631</v>
      </c>
    </row>
    <row r="32" spans="1:10" s="2" customFormat="1" ht="31.5" x14ac:dyDescent="0.25">
      <c r="A32" s="284" t="s">
        <v>70</v>
      </c>
      <c r="B32" s="285" t="str">
        <f>Don_gia_thanh!B101</f>
        <v>Tổ chức đấu giá quyền sử dụng đất theo quy định</v>
      </c>
      <c r="C32" s="273"/>
      <c r="D32" s="277"/>
      <c r="E32" s="277"/>
      <c r="F32" s="277"/>
      <c r="G32" s="277"/>
      <c r="H32" s="266">
        <f t="shared" si="3"/>
        <v>0</v>
      </c>
      <c r="I32" s="275">
        <f t="shared" si="4"/>
        <v>0</v>
      </c>
      <c r="J32" s="275">
        <f t="shared" si="5"/>
        <v>0</v>
      </c>
    </row>
    <row r="33" spans="1:11" s="2" customFormat="1" x14ac:dyDescent="0.25">
      <c r="A33" s="284"/>
      <c r="B33" s="272" t="s">
        <v>30</v>
      </c>
      <c r="C33" s="273">
        <v>1</v>
      </c>
      <c r="D33" s="277">
        <f>Don_gia_thanh!G102</f>
        <v>882360</v>
      </c>
      <c r="E33" s="277"/>
      <c r="F33" s="277">
        <f>Don_gia_thanh!G104</f>
        <v>0</v>
      </c>
      <c r="G33" s="277"/>
      <c r="H33" s="266">
        <f t="shared" si="3"/>
        <v>882360</v>
      </c>
      <c r="I33" s="275">
        <f t="shared" si="4"/>
        <v>132354</v>
      </c>
      <c r="J33" s="275">
        <f t="shared" si="5"/>
        <v>1014714</v>
      </c>
      <c r="K33" s="286"/>
    </row>
    <row r="34" spans="1:11" s="2" customFormat="1" x14ac:dyDescent="0.25">
      <c r="A34" s="284"/>
      <c r="B34" s="272" t="s">
        <v>31</v>
      </c>
      <c r="C34" s="273">
        <v>1</v>
      </c>
      <c r="D34" s="277">
        <f>Don_gia_thanh!G102</f>
        <v>882360</v>
      </c>
      <c r="E34" s="277"/>
      <c r="F34" s="277">
        <f>Don_gia_thanh!G105</f>
        <v>21350</v>
      </c>
      <c r="G34" s="277">
        <f>Don_gia_thanh!G115</f>
        <v>80000</v>
      </c>
      <c r="H34" s="266">
        <f t="shared" si="3"/>
        <v>983710</v>
      </c>
      <c r="I34" s="275">
        <f t="shared" si="4"/>
        <v>147556.5</v>
      </c>
      <c r="J34" s="275">
        <f t="shared" si="5"/>
        <v>1131266.5</v>
      </c>
      <c r="K34" s="286"/>
    </row>
    <row r="35" spans="1:11" s="2" customFormat="1" x14ac:dyDescent="0.25">
      <c r="A35" s="284"/>
      <c r="B35" s="272" t="s">
        <v>32</v>
      </c>
      <c r="C35" s="273">
        <v>1</v>
      </c>
      <c r="D35" s="277">
        <f>Don_gia_thanh!G102</f>
        <v>882360</v>
      </c>
      <c r="E35" s="277"/>
      <c r="F35" s="277">
        <f>Don_gia_thanh!G106</f>
        <v>29890</v>
      </c>
      <c r="G35" s="277">
        <f>Don_gia_thanh!G115</f>
        <v>80000</v>
      </c>
      <c r="H35" s="266">
        <f t="shared" si="3"/>
        <v>992250</v>
      </c>
      <c r="I35" s="275">
        <f t="shared" si="4"/>
        <v>148837.5</v>
      </c>
      <c r="J35" s="275">
        <f t="shared" si="5"/>
        <v>1141087.5</v>
      </c>
      <c r="K35" s="286"/>
    </row>
    <row r="36" spans="1:11" s="2" customFormat="1" x14ac:dyDescent="0.25">
      <c r="A36" s="284"/>
      <c r="B36" s="272" t="s">
        <v>33</v>
      </c>
      <c r="C36" s="273">
        <v>1</v>
      </c>
      <c r="D36" s="277">
        <f>Don_gia_thanh!G102</f>
        <v>882360</v>
      </c>
      <c r="E36" s="277"/>
      <c r="F36" s="277">
        <f>Don_gia_thanh!G107</f>
        <v>40565</v>
      </c>
      <c r="G36" s="277">
        <f>Don_gia_thanh!G115</f>
        <v>80000</v>
      </c>
      <c r="H36" s="266">
        <f t="shared" si="3"/>
        <v>1002925</v>
      </c>
      <c r="I36" s="275">
        <f t="shared" si="4"/>
        <v>150438.75</v>
      </c>
      <c r="J36" s="275">
        <f t="shared" si="5"/>
        <v>1153363.75</v>
      </c>
      <c r="K36" s="286"/>
    </row>
    <row r="37" spans="1:11" s="2" customFormat="1" x14ac:dyDescent="0.25">
      <c r="A37" s="284"/>
      <c r="B37" s="272" t="s">
        <v>138</v>
      </c>
      <c r="C37" s="273">
        <v>1</v>
      </c>
      <c r="D37" s="277">
        <f>Don_gia_thanh!G102</f>
        <v>882360</v>
      </c>
      <c r="E37" s="277"/>
      <c r="F37" s="277">
        <f>Don_gia_thanh!G108</f>
        <v>42700</v>
      </c>
      <c r="G37" s="277">
        <f>Don_gia_thanh!G115</f>
        <v>80000</v>
      </c>
      <c r="H37" s="266">
        <f t="shared" si="3"/>
        <v>1005060</v>
      </c>
      <c r="I37" s="275">
        <f t="shared" si="4"/>
        <v>150759</v>
      </c>
      <c r="J37" s="275">
        <f t="shared" si="5"/>
        <v>1155819</v>
      </c>
      <c r="K37" s="286"/>
    </row>
    <row r="38" spans="1:11" s="2" customFormat="1" x14ac:dyDescent="0.25">
      <c r="A38" s="284"/>
      <c r="B38" s="272" t="s">
        <v>139</v>
      </c>
      <c r="C38" s="273">
        <v>1</v>
      </c>
      <c r="D38" s="277">
        <f>Don_gia_thanh!G102</f>
        <v>882360</v>
      </c>
      <c r="E38" s="277"/>
      <c r="F38" s="277">
        <f>Don_gia_thanh!G108</f>
        <v>42700</v>
      </c>
      <c r="G38" s="277">
        <f>Don_gia_thanh!G114</f>
        <v>100000</v>
      </c>
      <c r="H38" s="266">
        <f t="shared" si="3"/>
        <v>1025060</v>
      </c>
      <c r="I38" s="275">
        <f t="shared" si="4"/>
        <v>153759</v>
      </c>
      <c r="J38" s="275">
        <f t="shared" si="5"/>
        <v>1178819</v>
      </c>
      <c r="K38" s="286"/>
    </row>
    <row r="39" spans="1:11" s="2" customFormat="1" x14ac:dyDescent="0.25">
      <c r="A39" s="284"/>
      <c r="B39" s="272" t="s">
        <v>35</v>
      </c>
      <c r="C39" s="273">
        <v>1</v>
      </c>
      <c r="D39" s="277">
        <f>Don_gia_thanh!G102</f>
        <v>882360</v>
      </c>
      <c r="E39" s="277"/>
      <c r="F39" s="277">
        <f>Don_gia_thanh!G109</f>
        <v>51240</v>
      </c>
      <c r="G39" s="277">
        <f>Don_gia_thanh!G114</f>
        <v>100000</v>
      </c>
      <c r="H39" s="266">
        <f t="shared" si="3"/>
        <v>1033600</v>
      </c>
      <c r="I39" s="275">
        <f t="shared" si="4"/>
        <v>155040</v>
      </c>
      <c r="J39" s="275">
        <f t="shared" si="5"/>
        <v>1188640</v>
      </c>
      <c r="K39" s="286"/>
    </row>
    <row r="40" spans="1:11" s="2" customFormat="1" x14ac:dyDescent="0.25">
      <c r="A40" s="284"/>
      <c r="B40" s="272" t="s">
        <v>36</v>
      </c>
      <c r="C40" s="273">
        <v>1</v>
      </c>
      <c r="D40" s="277">
        <f>Don_gia_thanh!G102</f>
        <v>882360</v>
      </c>
      <c r="E40" s="277"/>
      <c r="F40" s="277">
        <f>Don_gia_thanh!G110</f>
        <v>64050</v>
      </c>
      <c r="G40" s="277">
        <f>Don_gia_thanh!G114</f>
        <v>100000</v>
      </c>
      <c r="H40" s="266">
        <f t="shared" si="3"/>
        <v>1046410</v>
      </c>
      <c r="I40" s="275">
        <f t="shared" si="4"/>
        <v>156961.5</v>
      </c>
      <c r="J40" s="275">
        <f t="shared" si="5"/>
        <v>1203371.5</v>
      </c>
      <c r="K40" s="286"/>
    </row>
    <row r="41" spans="1:11" s="2" customFormat="1" ht="31.5" x14ac:dyDescent="0.25">
      <c r="A41" s="284" t="s">
        <v>131</v>
      </c>
      <c r="B41" s="285" t="str">
        <f>Don_gia_thanh!B116</f>
        <v>Báo cáo về kết quả thực hiện đấu giá</v>
      </c>
      <c r="C41" s="273">
        <v>2</v>
      </c>
      <c r="D41" s="277">
        <f>Don_gia_thanh!G117</f>
        <v>1792935</v>
      </c>
      <c r="E41" s="277">
        <f>Don_gia_thanh!G118</f>
        <v>192500</v>
      </c>
      <c r="F41" s="277"/>
      <c r="G41" s="277"/>
      <c r="H41" s="266">
        <f t="shared" si="3"/>
        <v>1985435</v>
      </c>
      <c r="I41" s="275">
        <f t="shared" si="4"/>
        <v>297815.25</v>
      </c>
      <c r="J41" s="275">
        <f t="shared" si="5"/>
        <v>2283250.25</v>
      </c>
      <c r="K41" s="286"/>
    </row>
    <row r="42" spans="1:11" s="2" customFormat="1" ht="63" x14ac:dyDescent="0.25">
      <c r="A42" s="273">
        <v>6</v>
      </c>
      <c r="B42" s="272" t="str">
        <f>Don_gia_thanh!B121</f>
        <v>Tổ chức ký hợp đồng mua bán tài sản đấu giá theo quy định tại Điều 46 Luật Đấu giá tài sản ngày 17/11/2016</v>
      </c>
      <c r="C42" s="273">
        <v>3</v>
      </c>
      <c r="D42" s="277">
        <f>Don_gia_thanh!G122</f>
        <v>1708290</v>
      </c>
      <c r="E42" s="277">
        <f>Don_gia_thanh!G123</f>
        <v>200000</v>
      </c>
      <c r="F42" s="277"/>
      <c r="G42" s="277"/>
      <c r="H42" s="266">
        <f t="shared" si="3"/>
        <v>1908290</v>
      </c>
      <c r="I42" s="275">
        <f t="shared" si="4"/>
        <v>286243.5</v>
      </c>
      <c r="J42" s="275">
        <f t="shared" si="5"/>
        <v>2194533.5</v>
      </c>
      <c r="K42" s="286"/>
    </row>
    <row r="43" spans="1:11" s="2" customFormat="1" ht="47.25" x14ac:dyDescent="0.25">
      <c r="A43" s="273">
        <v>7</v>
      </c>
      <c r="B43" s="272" t="str">
        <f>Don_gia_thanh!B126</f>
        <v>Trình cơ quan có thẩm quyền phê duyệt kết quả đấu giá đấu giá quyền sử dụng đất</v>
      </c>
      <c r="C43" s="273">
        <v>4</v>
      </c>
      <c r="D43" s="277">
        <f>Don_gia_thanh!G127</f>
        <v>1792935</v>
      </c>
      <c r="E43" s="277">
        <f>Don_gia_thanh!G128</f>
        <v>192500</v>
      </c>
      <c r="F43" s="277"/>
      <c r="G43" s="277"/>
      <c r="H43" s="266">
        <f t="shared" si="3"/>
        <v>1985435</v>
      </c>
      <c r="I43" s="275">
        <f t="shared" si="4"/>
        <v>297815.25</v>
      </c>
      <c r="J43" s="275">
        <f t="shared" si="5"/>
        <v>2283250.25</v>
      </c>
      <c r="K43" s="286"/>
    </row>
    <row r="44" spans="1:11" s="2" customFormat="1" x14ac:dyDescent="0.25">
      <c r="A44" s="284"/>
      <c r="B44" s="272" t="str">
        <f>Don_gia_thanh!B131</f>
        <v>Nộp tiền sử dụng đất, tiền thuê đất</v>
      </c>
      <c r="C44" s="273">
        <v>1</v>
      </c>
      <c r="D44" s="277">
        <f>Don_gia_thanh!G132</f>
        <v>882360</v>
      </c>
      <c r="E44" s="277">
        <f>Don_gia_thanh!G133</f>
        <v>83000</v>
      </c>
      <c r="F44" s="277"/>
      <c r="G44" s="277"/>
      <c r="H44" s="266">
        <f t="shared" si="3"/>
        <v>965360</v>
      </c>
      <c r="I44" s="275">
        <f t="shared" si="4"/>
        <v>144804</v>
      </c>
      <c r="J44" s="275">
        <f t="shared" si="5"/>
        <v>1110164</v>
      </c>
      <c r="K44" s="287">
        <f>J21+J22+J23+J25+J26+J28+J30+J31+J33+J41+J42+J43+J44+J45</f>
        <v>37460772.75</v>
      </c>
    </row>
    <row r="45" spans="1:11" s="2" customFormat="1" ht="47.25" x14ac:dyDescent="0.25">
      <c r="A45" s="273">
        <v>8</v>
      </c>
      <c r="B45" s="272" t="str">
        <f>Don_gia_thanh!B136</f>
        <v>Cấp giấy chứng nhận quyền sử dụng đất, giao đất trên thực địa cho người trúng đấu giá</v>
      </c>
      <c r="C45" s="273">
        <v>1</v>
      </c>
      <c r="D45" s="277">
        <f>Don_gia_thanh!G136</f>
        <v>284715</v>
      </c>
      <c r="E45" s="277"/>
      <c r="F45" s="277"/>
      <c r="G45" s="277"/>
      <c r="H45" s="266">
        <f t="shared" si="3"/>
        <v>284715</v>
      </c>
      <c r="I45" s="275">
        <f t="shared" si="4"/>
        <v>42707.25</v>
      </c>
      <c r="J45" s="275">
        <f t="shared" si="5"/>
        <v>327422.25</v>
      </c>
      <c r="K45" s="288">
        <f>K7+K44</f>
        <v>52197154.5</v>
      </c>
    </row>
  </sheetData>
  <mergeCells count="2">
    <mergeCell ref="A1:J1"/>
    <mergeCell ref="A2:J2"/>
  </mergeCells>
  <pageMargins left="0.21" right="0.17" top="0.32" bottom="0.4" header="0.17" footer="0.17"/>
  <pageSetup paperSize="9" orientation="landscape"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opLeftCell="A31" workbookViewId="0">
      <selection activeCell="D60" sqref="D60"/>
    </sheetView>
  </sheetViews>
  <sheetFormatPr defaultColWidth="9" defaultRowHeight="16.5" x14ac:dyDescent="0.25"/>
  <cols>
    <col min="1" max="1" width="5.75" style="340" bestFit="1" customWidth="1"/>
    <col min="2" max="2" width="38.625" style="340" customWidth="1"/>
    <col min="3" max="3" width="7" style="387" hidden="1" customWidth="1"/>
    <col min="4" max="4" width="10.75" style="388" bestFit="1" customWidth="1"/>
    <col min="5" max="5" width="9" style="340"/>
    <col min="6" max="6" width="11.75" style="340" customWidth="1"/>
    <col min="7" max="7" width="12.25" style="340" customWidth="1"/>
    <col min="8" max="8" width="11.125" style="340" bestFit="1" customWidth="1"/>
    <col min="9" max="9" width="16.125" style="340" customWidth="1"/>
    <col min="10" max="10" width="14" style="386" bestFit="1" customWidth="1"/>
    <col min="11" max="12" width="11.125" style="340" bestFit="1" customWidth="1"/>
    <col min="13" max="16384" width="9" style="340"/>
  </cols>
  <sheetData>
    <row r="1" spans="1:10" ht="16.5" customHeight="1" x14ac:dyDescent="0.25">
      <c r="A1" s="739" t="s">
        <v>188</v>
      </c>
      <c r="B1" s="739"/>
      <c r="C1" s="739"/>
      <c r="D1" s="739"/>
      <c r="E1" s="739"/>
      <c r="F1" s="739"/>
      <c r="G1" s="739"/>
      <c r="H1" s="739"/>
      <c r="I1" s="739"/>
      <c r="J1" s="739"/>
    </row>
    <row r="2" spans="1:10" ht="36" customHeight="1" x14ac:dyDescent="0.25">
      <c r="A2" s="740" t="s">
        <v>189</v>
      </c>
      <c r="B2" s="740"/>
      <c r="C2" s="740"/>
      <c r="D2" s="740"/>
      <c r="E2" s="740"/>
      <c r="F2" s="740"/>
      <c r="G2" s="740"/>
      <c r="H2" s="740"/>
      <c r="I2" s="740"/>
      <c r="J2" s="740"/>
    </row>
    <row r="3" spans="1:10" x14ac:dyDescent="0.25">
      <c r="A3" s="341"/>
      <c r="B3" s="341"/>
      <c r="C3" s="341"/>
      <c r="D3" s="342"/>
      <c r="E3" s="341"/>
      <c r="F3" s="341"/>
      <c r="G3" s="341"/>
      <c r="H3" s="341"/>
      <c r="I3" s="341"/>
      <c r="J3" s="343" t="s">
        <v>118</v>
      </c>
    </row>
    <row r="4" spans="1:10" ht="48" customHeight="1" x14ac:dyDescent="0.25">
      <c r="A4" s="344" t="s">
        <v>0</v>
      </c>
      <c r="B4" s="344" t="s">
        <v>1</v>
      </c>
      <c r="C4" s="98" t="s">
        <v>4</v>
      </c>
      <c r="D4" s="389" t="s">
        <v>119</v>
      </c>
      <c r="E4" s="136" t="s">
        <v>120</v>
      </c>
      <c r="F4" s="136" t="s">
        <v>121</v>
      </c>
      <c r="G4" s="137" t="s">
        <v>122</v>
      </c>
      <c r="H4" s="136" t="s">
        <v>123</v>
      </c>
      <c r="I4" s="136" t="s">
        <v>124</v>
      </c>
      <c r="J4" s="136" t="s">
        <v>78</v>
      </c>
    </row>
    <row r="5" spans="1:10" ht="49.5" x14ac:dyDescent="0.25">
      <c r="A5" s="345">
        <v>1</v>
      </c>
      <c r="B5" s="346" t="str">
        <f>Don_gia_PA!B2</f>
        <v>Kiểm tra lại ranh giới, hiện trạng sử dụng khu đất và phối hợp với địa phương xử lý một số vướng mắc phát sinh (nếu có)</v>
      </c>
      <c r="C5" s="347"/>
      <c r="D5" s="314"/>
      <c r="E5" s="217"/>
      <c r="F5" s="217"/>
      <c r="G5" s="217"/>
      <c r="H5" s="217"/>
      <c r="I5" s="217"/>
      <c r="J5" s="217"/>
    </row>
    <row r="6" spans="1:10" x14ac:dyDescent="0.25">
      <c r="A6" s="348"/>
      <c r="B6" s="349" t="s">
        <v>30</v>
      </c>
      <c r="C6" s="350"/>
      <c r="D6" s="351">
        <f>Don_gia_PA!G3</f>
        <v>1138860</v>
      </c>
      <c r="E6" s="352">
        <f>Don_gia_PA!G4</f>
        <v>102000</v>
      </c>
      <c r="F6" s="352">
        <f>Don_gia_PA!G9</f>
        <v>0</v>
      </c>
      <c r="G6" s="352"/>
      <c r="H6" s="353">
        <f>SUM(D6:G6)</f>
        <v>1240860</v>
      </c>
      <c r="I6" s="353">
        <f>H6*15%</f>
        <v>186129</v>
      </c>
      <c r="J6" s="353">
        <f>H6+I6</f>
        <v>1426989</v>
      </c>
    </row>
    <row r="7" spans="1:10" x14ac:dyDescent="0.25">
      <c r="A7" s="348"/>
      <c r="B7" s="349" t="s">
        <v>31</v>
      </c>
      <c r="C7" s="350"/>
      <c r="D7" s="351">
        <f>Don_gia_PA!G3</f>
        <v>1138860</v>
      </c>
      <c r="E7" s="352">
        <f>Don_gia_PA!G4</f>
        <v>102000</v>
      </c>
      <c r="F7" s="352">
        <f>Don_gia_PA!G10</f>
        <v>21350</v>
      </c>
      <c r="G7" s="352">
        <f>Don_gia_PA!G20</f>
        <v>160000</v>
      </c>
      <c r="H7" s="353">
        <f>SUM(D7:G7)</f>
        <v>1422210</v>
      </c>
      <c r="I7" s="353">
        <f t="shared" ref="I7:I18" si="0">H7*15%</f>
        <v>213331.5</v>
      </c>
      <c r="J7" s="353">
        <f t="shared" ref="J7:J18" si="1">H7+I7</f>
        <v>1635541.5</v>
      </c>
    </row>
    <row r="8" spans="1:10" x14ac:dyDescent="0.25">
      <c r="A8" s="348"/>
      <c r="B8" s="349" t="s">
        <v>32</v>
      </c>
      <c r="C8" s="350"/>
      <c r="D8" s="351">
        <f>Don_gia_PA!G3</f>
        <v>1138860</v>
      </c>
      <c r="E8" s="352">
        <f>Don_gia_PA!G4</f>
        <v>102000</v>
      </c>
      <c r="F8" s="352">
        <f>Don_gia_PA!G11</f>
        <v>29890</v>
      </c>
      <c r="G8" s="352">
        <f>Don_gia_PA!G20</f>
        <v>160000</v>
      </c>
      <c r="H8" s="353">
        <f>SUM(D8:G8)</f>
        <v>1430750</v>
      </c>
      <c r="I8" s="353">
        <f t="shared" si="0"/>
        <v>214612.5</v>
      </c>
      <c r="J8" s="353">
        <f t="shared" si="1"/>
        <v>1645362.5</v>
      </c>
    </row>
    <row r="9" spans="1:10" x14ac:dyDescent="0.25">
      <c r="A9" s="348"/>
      <c r="B9" s="349" t="s">
        <v>172</v>
      </c>
      <c r="C9" s="350"/>
      <c r="D9" s="351">
        <f>Don_gia_PA!G3</f>
        <v>1138860</v>
      </c>
      <c r="E9" s="352">
        <f>Don_gia_PA!G4</f>
        <v>102000</v>
      </c>
      <c r="F9" s="352">
        <f>Don_gia_PA!G12</f>
        <v>40565</v>
      </c>
      <c r="G9" s="352">
        <f>Don_gia_PA!G20</f>
        <v>160000</v>
      </c>
      <c r="H9" s="353">
        <f t="shared" ref="H9:H18" si="2">SUM(D9:G9)</f>
        <v>1441425</v>
      </c>
      <c r="I9" s="353">
        <f t="shared" si="0"/>
        <v>216213.75</v>
      </c>
      <c r="J9" s="353">
        <f t="shared" si="1"/>
        <v>1657638.75</v>
      </c>
    </row>
    <row r="10" spans="1:10" x14ac:dyDescent="0.25">
      <c r="A10" s="348"/>
      <c r="B10" s="349" t="s">
        <v>171</v>
      </c>
      <c r="C10" s="350"/>
      <c r="D10" s="351">
        <f>Don_gia_PA!G3</f>
        <v>1138860</v>
      </c>
      <c r="E10" s="352">
        <f>Don_gia_PA!G4</f>
        <v>102000</v>
      </c>
      <c r="F10" s="352">
        <f>Don_gia_PA!G13</f>
        <v>42700</v>
      </c>
      <c r="G10" s="352">
        <f>Don_gia_PA!G20</f>
        <v>160000</v>
      </c>
      <c r="H10" s="353"/>
      <c r="I10" s="353"/>
      <c r="J10" s="353"/>
    </row>
    <row r="11" spans="1:10" x14ac:dyDescent="0.25">
      <c r="A11" s="348"/>
      <c r="B11" s="349" t="s">
        <v>138</v>
      </c>
      <c r="C11" s="350"/>
      <c r="D11" s="351">
        <f>Don_gia_PA!G3</f>
        <v>1138860</v>
      </c>
      <c r="E11" s="352">
        <f>E9</f>
        <v>102000</v>
      </c>
      <c r="F11" s="352">
        <f>Don_gia_PA!G14</f>
        <v>51240</v>
      </c>
      <c r="G11" s="352">
        <f>Don_gia_PA!G20</f>
        <v>160000</v>
      </c>
      <c r="H11" s="353">
        <f t="shared" si="2"/>
        <v>1452100</v>
      </c>
      <c r="I11" s="353">
        <f t="shared" si="0"/>
        <v>217815</v>
      </c>
      <c r="J11" s="353">
        <f t="shared" si="1"/>
        <v>1669915</v>
      </c>
    </row>
    <row r="12" spans="1:10" x14ac:dyDescent="0.25">
      <c r="A12" s="348"/>
      <c r="B12" s="349" t="s">
        <v>139</v>
      </c>
      <c r="C12" s="350"/>
      <c r="D12" s="351">
        <f>Don_gia_PA!G3</f>
        <v>1138860</v>
      </c>
      <c r="E12" s="352">
        <f>E6</f>
        <v>102000</v>
      </c>
      <c r="F12" s="352">
        <f>Don_gia_PA!G15</f>
        <v>64050</v>
      </c>
      <c r="G12" s="352">
        <f>Don_gia_PA!G19</f>
        <v>200000</v>
      </c>
      <c r="H12" s="353">
        <f t="shared" si="2"/>
        <v>1504910</v>
      </c>
      <c r="I12" s="353">
        <f t="shared" si="0"/>
        <v>225736.5</v>
      </c>
      <c r="J12" s="353">
        <f t="shared" si="1"/>
        <v>1730646.5</v>
      </c>
    </row>
    <row r="13" spans="1:10" x14ac:dyDescent="0.25">
      <c r="A13" s="348"/>
      <c r="B13" s="349" t="s">
        <v>35</v>
      </c>
      <c r="C13" s="350"/>
      <c r="D13" s="351">
        <f>Don_gia_PA!G3</f>
        <v>1138860</v>
      </c>
      <c r="E13" s="352">
        <f>E6</f>
        <v>102000</v>
      </c>
      <c r="F13" s="352">
        <f>Don_gia_PA!G16</f>
        <v>70455</v>
      </c>
      <c r="G13" s="352">
        <f>Don_gia_PA!G19</f>
        <v>200000</v>
      </c>
      <c r="H13" s="353">
        <f t="shared" si="2"/>
        <v>1511315</v>
      </c>
      <c r="I13" s="353">
        <f t="shared" si="0"/>
        <v>226697.25</v>
      </c>
      <c r="J13" s="353">
        <f t="shared" si="1"/>
        <v>1738012.25</v>
      </c>
    </row>
    <row r="14" spans="1:10" x14ac:dyDescent="0.25">
      <c r="A14" s="354"/>
      <c r="B14" s="355" t="s">
        <v>36</v>
      </c>
      <c r="C14" s="356"/>
      <c r="D14" s="357">
        <f>Don_gia_PA!G3</f>
        <v>1138860</v>
      </c>
      <c r="E14" s="358">
        <f>E6</f>
        <v>102000</v>
      </c>
      <c r="F14" s="358">
        <f>Don_gia_PA!G17</f>
        <v>83265</v>
      </c>
      <c r="G14" s="358">
        <f>Don_gia_PA!G19</f>
        <v>200000</v>
      </c>
      <c r="H14" s="359">
        <f t="shared" si="2"/>
        <v>1524125</v>
      </c>
      <c r="I14" s="359">
        <f t="shared" si="0"/>
        <v>228618.75</v>
      </c>
      <c r="J14" s="353">
        <f t="shared" si="1"/>
        <v>1752743.75</v>
      </c>
    </row>
    <row r="15" spans="1:10" ht="33.75" customHeight="1" x14ac:dyDescent="0.25">
      <c r="A15" s="360">
        <v>2</v>
      </c>
      <c r="B15" s="361" t="str">
        <f>Don_gia_PA!B21</f>
        <v>Thu thập, rà soát hồ sơ, cơ sở pháp lý để lập Phương án</v>
      </c>
      <c r="C15" s="98"/>
      <c r="D15" s="315">
        <f>Don_gia_PA!G22</f>
        <v>1708290</v>
      </c>
      <c r="E15" s="322">
        <f>Don_gia_PA!G23</f>
        <v>204500</v>
      </c>
      <c r="F15" s="136"/>
      <c r="G15" s="136"/>
      <c r="H15" s="362">
        <f t="shared" si="2"/>
        <v>1912790</v>
      </c>
      <c r="I15" s="362">
        <f t="shared" si="0"/>
        <v>286918.5</v>
      </c>
      <c r="J15" s="362">
        <f t="shared" si="1"/>
        <v>2199708.5</v>
      </c>
    </row>
    <row r="16" spans="1:10" ht="33" x14ac:dyDescent="0.25">
      <c r="A16" s="360">
        <v>3</v>
      </c>
      <c r="B16" s="54" t="str">
        <f>Don_gia_PA!B28</f>
        <v>Dự thảo Phương án lấy ý kiến các sở, ngành liên quan</v>
      </c>
      <c r="C16" s="98"/>
      <c r="D16" s="315">
        <f>Don_gia_PA!G29</f>
        <v>5124870</v>
      </c>
      <c r="E16" s="322">
        <f>Don_gia_PA!G30</f>
        <v>549500</v>
      </c>
      <c r="F16" s="136"/>
      <c r="G16" s="136"/>
      <c r="H16" s="362">
        <f t="shared" si="2"/>
        <v>5674370</v>
      </c>
      <c r="I16" s="362">
        <f t="shared" si="0"/>
        <v>851155.5</v>
      </c>
      <c r="J16" s="362">
        <f t="shared" si="1"/>
        <v>6525525.5</v>
      </c>
    </row>
    <row r="17" spans="1:10" ht="26.25" customHeight="1" x14ac:dyDescent="0.25">
      <c r="A17" s="360">
        <v>4</v>
      </c>
      <c r="B17" s="390" t="str">
        <f>Don_gia_PA!B35</f>
        <v>Tổng hợp ý kiến, hoàn chỉnh phương án</v>
      </c>
      <c r="C17" s="98"/>
      <c r="D17" s="315">
        <f>Don_gia_PA!G36</f>
        <v>3501225</v>
      </c>
      <c r="E17" s="322">
        <f>Don_gia_PA!G37</f>
        <v>292500</v>
      </c>
      <c r="F17" s="136"/>
      <c r="G17" s="136"/>
      <c r="H17" s="362">
        <f t="shared" si="2"/>
        <v>3793725</v>
      </c>
      <c r="I17" s="362">
        <f t="shared" si="0"/>
        <v>569058.75</v>
      </c>
      <c r="J17" s="362">
        <f t="shared" si="1"/>
        <v>4362783.75</v>
      </c>
    </row>
    <row r="18" spans="1:10" ht="23.25" customHeight="1" x14ac:dyDescent="0.25">
      <c r="A18" s="360">
        <v>5</v>
      </c>
      <c r="B18" s="390" t="str">
        <f>Don_gia_PA!B40</f>
        <v>Trình cấp thẩm quyền phê duyệt phương án</v>
      </c>
      <c r="C18" s="98"/>
      <c r="D18" s="315">
        <f>Don_gia_PA!G41</f>
        <v>569430</v>
      </c>
      <c r="E18" s="322">
        <f>Don_gia_PA!G42</f>
        <v>192500</v>
      </c>
      <c r="F18" s="136"/>
      <c r="G18" s="136"/>
      <c r="H18" s="362">
        <f t="shared" si="2"/>
        <v>761930</v>
      </c>
      <c r="I18" s="362">
        <f t="shared" si="0"/>
        <v>114289.5</v>
      </c>
      <c r="J18" s="362">
        <f t="shared" si="1"/>
        <v>876219.5</v>
      </c>
    </row>
    <row r="19" spans="1:10" ht="23.25" customHeight="1" x14ac:dyDescent="0.25">
      <c r="A19" s="101">
        <v>6</v>
      </c>
      <c r="B19" s="390" t="str">
        <f>Don_gia_thanh!B45</f>
        <v>Chuẩn bị hồ sơ đấu giá quyền sử dụng đất</v>
      </c>
      <c r="C19" s="101" t="s">
        <v>44</v>
      </c>
      <c r="D19" s="363">
        <f>Don_gia_thanh!G46</f>
        <v>3529440</v>
      </c>
      <c r="E19" s="362">
        <f>Don_gia_thanh!G47</f>
        <v>295000</v>
      </c>
      <c r="F19" s="364"/>
      <c r="G19" s="364"/>
      <c r="H19" s="362">
        <f>SUM(D19:G19)</f>
        <v>3824440</v>
      </c>
      <c r="I19" s="362">
        <f>H19*15%</f>
        <v>573666</v>
      </c>
      <c r="J19" s="362">
        <f>H19+I19</f>
        <v>4398106</v>
      </c>
    </row>
    <row r="20" spans="1:10" ht="39" customHeight="1" x14ac:dyDescent="0.25">
      <c r="A20" s="101">
        <v>7</v>
      </c>
      <c r="B20" s="361" t="str">
        <f>Don_gia_thanh!B51</f>
        <v>Trình cơ quan có thẩm quyền quyết định đấu giá quyền sử dụng đất.</v>
      </c>
      <c r="C20" s="101" t="s">
        <v>44</v>
      </c>
      <c r="D20" s="363">
        <f>Don_gia_thanh!G52</f>
        <v>597645</v>
      </c>
      <c r="E20" s="362">
        <f>Don_gia_thanh!G53</f>
        <v>75500</v>
      </c>
      <c r="F20" s="365"/>
      <c r="G20" s="365"/>
      <c r="H20" s="362">
        <f t="shared" ref="H20:H41" si="3">SUM(D20:G20)</f>
        <v>673145</v>
      </c>
      <c r="I20" s="362">
        <f t="shared" ref="I20:I41" si="4">H20*15%</f>
        <v>100971.75</v>
      </c>
      <c r="J20" s="362">
        <f t="shared" ref="J20:J41" si="5">H20+I20</f>
        <v>774116.75</v>
      </c>
    </row>
    <row r="21" spans="1:10" ht="57.75" customHeight="1" x14ac:dyDescent="0.25">
      <c r="A21" s="101">
        <v>8</v>
      </c>
      <c r="B21" s="238" t="str">
        <f>Don_gia_thanh!B56</f>
        <v>Tổ chức thực hiện xác định giá khởi điểm trình cấp có thẩm quyền phê duyệt giá khởi điểm của thửa đất đấu giá</v>
      </c>
      <c r="C21" s="101" t="s">
        <v>44</v>
      </c>
      <c r="D21" s="363">
        <f>Don_gia_thanh!G57</f>
        <v>1138860</v>
      </c>
      <c r="E21" s="362">
        <f>Don_gia_thanh!G58</f>
        <v>290000</v>
      </c>
      <c r="F21" s="366"/>
      <c r="G21" s="365"/>
      <c r="H21" s="362">
        <f t="shared" si="3"/>
        <v>1428860</v>
      </c>
      <c r="I21" s="362">
        <f t="shared" si="4"/>
        <v>214329</v>
      </c>
      <c r="J21" s="362">
        <f t="shared" si="5"/>
        <v>1643189</v>
      </c>
    </row>
    <row r="22" spans="1:10" ht="49.5" x14ac:dyDescent="0.25">
      <c r="A22" s="101">
        <v>9</v>
      </c>
      <c r="B22" s="238" t="str">
        <f>Don_gia_thanh!B62</f>
        <v>Trình cơ quan có thẩm quyền quyết định bước giá để tổ chức đấu giá quyền sử dụng đất theo quy định.</v>
      </c>
      <c r="C22" s="101"/>
      <c r="D22" s="363">
        <f>Don_gia_thanh!G63</f>
        <v>6833160</v>
      </c>
      <c r="E22" s="362">
        <f>Don_gia_thanh!G64</f>
        <v>290000</v>
      </c>
      <c r="F22" s="366"/>
      <c r="G22" s="365"/>
      <c r="H22" s="362">
        <f t="shared" si="3"/>
        <v>7123160</v>
      </c>
      <c r="I22" s="362">
        <f t="shared" si="4"/>
        <v>1068474</v>
      </c>
      <c r="J22" s="362">
        <f t="shared" si="5"/>
        <v>8191634</v>
      </c>
    </row>
    <row r="23" spans="1:10" ht="57" customHeight="1" x14ac:dyDescent="0.25">
      <c r="A23" s="101">
        <v>10</v>
      </c>
      <c r="B23" s="238" t="str">
        <f>Don_gia_thanh!B69</f>
        <v>Lựa chọn tổ chức đấu giá tài sản theo Thông tư số 02/2022/TT-BTP ngày 08/02/2022 của Bộ trưởng Bộ Tư pháp.</v>
      </c>
      <c r="C23" s="101"/>
      <c r="D23" s="367"/>
      <c r="E23" s="366"/>
      <c r="F23" s="366"/>
      <c r="G23" s="366"/>
      <c r="H23" s="362"/>
      <c r="I23" s="362"/>
      <c r="J23" s="362"/>
    </row>
    <row r="24" spans="1:10" ht="49.5" x14ac:dyDescent="0.25">
      <c r="A24" s="368" t="s">
        <v>173</v>
      </c>
      <c r="B24" s="239" t="str">
        <f>Don_gia_thanh!B70</f>
        <v xml:space="preserve">Lập hồ sơ, ban hành khung tiêu chí và thông báo công khai tiêu chí lựa chọn tổ chức đấu giá tài sản </v>
      </c>
      <c r="C24" s="368"/>
      <c r="D24" s="369">
        <f>Don_gia_thanh!G71</f>
        <v>3416580</v>
      </c>
      <c r="E24" s="370">
        <f>Don_gia_thanh!G72</f>
        <v>502500</v>
      </c>
      <c r="F24" s="371"/>
      <c r="G24" s="371"/>
      <c r="H24" s="370">
        <f t="shared" si="3"/>
        <v>3919080</v>
      </c>
      <c r="I24" s="370">
        <f t="shared" si="4"/>
        <v>587862</v>
      </c>
      <c r="J24" s="370">
        <f t="shared" si="5"/>
        <v>4506942</v>
      </c>
    </row>
    <row r="25" spans="1:10" ht="33" x14ac:dyDescent="0.25">
      <c r="A25" s="368" t="s">
        <v>175</v>
      </c>
      <c r="B25" s="239" t="str">
        <f>Don_gia_thanh!B76</f>
        <v>Đánh giá, chấm điểm theo tiêu chí lựa chọn tổ chức đấu giá tài sản</v>
      </c>
      <c r="C25" s="368"/>
      <c r="D25" s="369">
        <f>Don_gia_thanh!G77</f>
        <v>4270725</v>
      </c>
      <c r="E25" s="370">
        <f>Don_gia_thanh!G78</f>
        <v>212500</v>
      </c>
      <c r="F25" s="371"/>
      <c r="G25" s="371"/>
      <c r="H25" s="370">
        <f t="shared" si="3"/>
        <v>4483225</v>
      </c>
      <c r="I25" s="370">
        <f t="shared" si="4"/>
        <v>672483.75</v>
      </c>
      <c r="J25" s="370">
        <f t="shared" si="5"/>
        <v>5155708.75</v>
      </c>
    </row>
    <row r="26" spans="1:10" ht="33" x14ac:dyDescent="0.25">
      <c r="A26" s="368" t="s">
        <v>176</v>
      </c>
      <c r="B26" s="239" t="str">
        <f>Don_gia_thanh!B82</f>
        <v>Thông báo kết quả lựa chọn tổ chức đấu giá tài sản</v>
      </c>
      <c r="C26" s="368"/>
      <c r="D26" s="369">
        <f>Don_gia_thanh!G83</f>
        <v>597645</v>
      </c>
      <c r="E26" s="370">
        <f>Don_gia_thanh!G84</f>
        <v>100000</v>
      </c>
      <c r="F26" s="371"/>
      <c r="G26" s="371"/>
      <c r="H26" s="370">
        <f t="shared" si="3"/>
        <v>697645</v>
      </c>
      <c r="I26" s="370">
        <f t="shared" si="4"/>
        <v>104646.75</v>
      </c>
      <c r="J26" s="370">
        <f t="shared" si="5"/>
        <v>802291.75</v>
      </c>
    </row>
    <row r="27" spans="1:10" ht="33" x14ac:dyDescent="0.25">
      <c r="A27" s="368" t="s">
        <v>177</v>
      </c>
      <c r="B27" s="239" t="str">
        <f>Don_gia_thanh!B87</f>
        <v>Ký hợp đồng với đơn vị thực hiện cuộc bán đấu giá theo quy định</v>
      </c>
      <c r="C27" s="368"/>
      <c r="D27" s="369">
        <f>Don_gia_thanh!G88</f>
        <v>1764720</v>
      </c>
      <c r="E27" s="370">
        <f>Don_gia_thanh!G89</f>
        <v>295000</v>
      </c>
      <c r="F27" s="371"/>
      <c r="G27" s="371"/>
      <c r="H27" s="370">
        <f t="shared" si="3"/>
        <v>2059720</v>
      </c>
      <c r="I27" s="370">
        <f t="shared" si="4"/>
        <v>308958</v>
      </c>
      <c r="J27" s="370">
        <f t="shared" si="5"/>
        <v>2368678</v>
      </c>
    </row>
    <row r="28" spans="1:10" ht="132" customHeight="1" x14ac:dyDescent="0.25">
      <c r="A28" s="101">
        <v>11</v>
      </c>
      <c r="B28" s="238" t="str">
        <f>Don_gia_thanh!B93</f>
        <v>Phối hợp đơn vị tổ chức đấu giá tài sản thông báo về việc bán đấu giá tài sản; Ban hành Quy chế cuộc bán đấu giá; Thực hiện việc niêm yết đấu giá tài sản và đăng tải thông tin về việc đấu giá tài sản theo quy định; Xét hồ sơ đăng ký tham gia đấu giá; Tổ chức đấu giá quyền sử dụng đất theo quy định; Báo cáo về kết quả thực hiện đấu giá.</v>
      </c>
      <c r="C28" s="101"/>
      <c r="D28" s="367"/>
      <c r="E28" s="366"/>
      <c r="F28" s="366"/>
      <c r="G28" s="366"/>
      <c r="H28" s="362"/>
      <c r="I28" s="362"/>
      <c r="J28" s="362"/>
    </row>
    <row r="29" spans="1:10" ht="104.25" customHeight="1" x14ac:dyDescent="0.25">
      <c r="A29" s="368" t="s">
        <v>178</v>
      </c>
      <c r="B29" s="239" t="str">
        <f>Don_gia_thanh!B94</f>
        <v>Phối hợp đơn vị tổ chức đấu giá tài sản thông báo về việc bán đấu giá tài sản;Ban hành Quy chế cuộc bán đấu giá; Thực hiện việc niêm yết đấu giá tài sản và đăng tải thông tin về việc đấu giá tài sản theo quy định</v>
      </c>
      <c r="C29" s="368"/>
      <c r="D29" s="369">
        <f>Don_gia_thanh!G94</f>
        <v>3416580</v>
      </c>
      <c r="E29" s="371"/>
      <c r="F29" s="371"/>
      <c r="G29" s="371"/>
      <c r="H29" s="370">
        <f t="shared" si="3"/>
        <v>3416580</v>
      </c>
      <c r="I29" s="370">
        <f t="shared" si="4"/>
        <v>512487</v>
      </c>
      <c r="J29" s="370">
        <f t="shared" si="5"/>
        <v>3929067</v>
      </c>
    </row>
    <row r="30" spans="1:10" ht="19.5" customHeight="1" x14ac:dyDescent="0.25">
      <c r="A30" s="368" t="s">
        <v>174</v>
      </c>
      <c r="B30" s="239" t="str">
        <f>Don_gia_thanh!B95</f>
        <v xml:space="preserve"> Xét hồ sơ đăng ký tham gia đấu giá</v>
      </c>
      <c r="C30" s="368"/>
      <c r="D30" s="372">
        <f>Don_gia_thanh!G96</f>
        <v>4555440</v>
      </c>
      <c r="E30" s="371">
        <f>Don_gia_thanh!G97</f>
        <v>202500</v>
      </c>
      <c r="F30" s="371"/>
      <c r="G30" s="371"/>
      <c r="H30" s="370">
        <f t="shared" si="3"/>
        <v>4757940</v>
      </c>
      <c r="I30" s="370">
        <f t="shared" si="4"/>
        <v>713691</v>
      </c>
      <c r="J30" s="370">
        <f t="shared" si="5"/>
        <v>5471631</v>
      </c>
    </row>
    <row r="31" spans="1:10" ht="33" x14ac:dyDescent="0.25">
      <c r="A31" s="373" t="s">
        <v>179</v>
      </c>
      <c r="B31" s="374" t="str">
        <f>Don_gia_thanh!B101</f>
        <v>Tổ chức đấu giá quyền sử dụng đất theo quy định</v>
      </c>
      <c r="C31" s="373"/>
      <c r="D31" s="375"/>
      <c r="E31" s="376"/>
      <c r="F31" s="376"/>
      <c r="G31" s="376"/>
      <c r="H31" s="377"/>
      <c r="I31" s="377"/>
      <c r="J31" s="377"/>
    </row>
    <row r="32" spans="1:10" x14ac:dyDescent="0.25">
      <c r="A32" s="378"/>
      <c r="B32" s="379" t="s">
        <v>30</v>
      </c>
      <c r="C32" s="378"/>
      <c r="D32" s="380">
        <f>Don_gia_thanh!G102</f>
        <v>882360</v>
      </c>
      <c r="E32" s="381"/>
      <c r="F32" s="381">
        <f>Don_gia_thanh!G104</f>
        <v>0</v>
      </c>
      <c r="G32" s="381"/>
      <c r="H32" s="337">
        <f t="shared" si="3"/>
        <v>882360</v>
      </c>
      <c r="I32" s="337">
        <f t="shared" si="4"/>
        <v>132354</v>
      </c>
      <c r="J32" s="337">
        <f t="shared" si="5"/>
        <v>1014714</v>
      </c>
    </row>
    <row r="33" spans="1:12" x14ac:dyDescent="0.25">
      <c r="A33" s="378"/>
      <c r="B33" s="379" t="s">
        <v>31</v>
      </c>
      <c r="C33" s="378"/>
      <c r="D33" s="380">
        <f>Don_gia_thanh!G102</f>
        <v>882360</v>
      </c>
      <c r="E33" s="381"/>
      <c r="F33" s="381">
        <f>Don_gia_thanh!G105</f>
        <v>21350</v>
      </c>
      <c r="G33" s="381">
        <f>Don_gia_thanh!G115</f>
        <v>80000</v>
      </c>
      <c r="H33" s="337">
        <f t="shared" si="3"/>
        <v>983710</v>
      </c>
      <c r="I33" s="337">
        <f t="shared" si="4"/>
        <v>147556.5</v>
      </c>
      <c r="J33" s="337">
        <f t="shared" si="5"/>
        <v>1131266.5</v>
      </c>
    </row>
    <row r="34" spans="1:12" x14ac:dyDescent="0.25">
      <c r="A34" s="378"/>
      <c r="B34" s="379" t="s">
        <v>32</v>
      </c>
      <c r="C34" s="378"/>
      <c r="D34" s="380">
        <f>Don_gia_thanh!G102</f>
        <v>882360</v>
      </c>
      <c r="E34" s="381"/>
      <c r="F34" s="381">
        <f>Don_gia_thanh!G106</f>
        <v>29890</v>
      </c>
      <c r="G34" s="381">
        <f>Don_gia_thanh!G115</f>
        <v>80000</v>
      </c>
      <c r="H34" s="337">
        <f t="shared" si="3"/>
        <v>992250</v>
      </c>
      <c r="I34" s="337">
        <f t="shared" si="4"/>
        <v>148837.5</v>
      </c>
      <c r="J34" s="337">
        <f t="shared" si="5"/>
        <v>1141087.5</v>
      </c>
    </row>
    <row r="35" spans="1:12" x14ac:dyDescent="0.25">
      <c r="A35" s="378"/>
      <c r="B35" s="379" t="s">
        <v>172</v>
      </c>
      <c r="C35" s="378"/>
      <c r="D35" s="380">
        <f>Don_gia_thanh!G102</f>
        <v>882360</v>
      </c>
      <c r="E35" s="381"/>
      <c r="F35" s="381">
        <f>Don_gia_thanh!G107</f>
        <v>40565</v>
      </c>
      <c r="G35" s="381">
        <f>Don_gia_thanh!G115</f>
        <v>80000</v>
      </c>
      <c r="H35" s="337">
        <f t="shared" si="3"/>
        <v>1002925</v>
      </c>
      <c r="I35" s="337">
        <f t="shared" si="4"/>
        <v>150438.75</v>
      </c>
      <c r="J35" s="337">
        <f t="shared" si="5"/>
        <v>1153363.75</v>
      </c>
    </row>
    <row r="36" spans="1:12" x14ac:dyDescent="0.25">
      <c r="A36" s="378"/>
      <c r="B36" s="379" t="s">
        <v>171</v>
      </c>
      <c r="C36" s="378"/>
      <c r="D36" s="380">
        <f>Don_gia_thanh!G102</f>
        <v>882360</v>
      </c>
      <c r="E36" s="381"/>
      <c r="F36" s="381">
        <f>Don_gia_thanh!G108</f>
        <v>42700</v>
      </c>
      <c r="G36" s="381">
        <f>Don_gia_thanh!G115</f>
        <v>80000</v>
      </c>
      <c r="H36" s="337">
        <f t="shared" si="3"/>
        <v>1005060</v>
      </c>
      <c r="I36" s="337">
        <f t="shared" si="4"/>
        <v>150759</v>
      </c>
      <c r="J36" s="337">
        <f t="shared" si="5"/>
        <v>1155819</v>
      </c>
    </row>
    <row r="37" spans="1:12" x14ac:dyDescent="0.25">
      <c r="A37" s="378"/>
      <c r="B37" s="379" t="s">
        <v>138</v>
      </c>
      <c r="C37" s="378"/>
      <c r="D37" s="380">
        <f>Don_gia_thanh!G102</f>
        <v>882360</v>
      </c>
      <c r="E37" s="381"/>
      <c r="F37" s="381">
        <f>Don_gia_thanh!G109</f>
        <v>51240</v>
      </c>
      <c r="G37" s="381">
        <f>Don_gia_thanh!G115</f>
        <v>80000</v>
      </c>
      <c r="H37" s="337">
        <f t="shared" si="3"/>
        <v>1013600</v>
      </c>
      <c r="I37" s="337">
        <f>H37*15%</f>
        <v>152040</v>
      </c>
      <c r="J37" s="337">
        <f t="shared" si="5"/>
        <v>1165640</v>
      </c>
    </row>
    <row r="38" spans="1:12" x14ac:dyDescent="0.25">
      <c r="A38" s="378"/>
      <c r="B38" s="379" t="s">
        <v>139</v>
      </c>
      <c r="C38" s="378"/>
      <c r="D38" s="380">
        <f>Don_gia_thanh!G102</f>
        <v>882360</v>
      </c>
      <c r="E38" s="381"/>
      <c r="F38" s="381">
        <f>Don_gia_thanh!G110</f>
        <v>64050</v>
      </c>
      <c r="G38" s="381">
        <f>Don_gia_thanh!G114</f>
        <v>100000</v>
      </c>
      <c r="H38" s="337">
        <f t="shared" si="3"/>
        <v>1046410</v>
      </c>
      <c r="I38" s="337">
        <f t="shared" si="4"/>
        <v>156961.5</v>
      </c>
      <c r="J38" s="337">
        <f t="shared" si="5"/>
        <v>1203371.5</v>
      </c>
    </row>
    <row r="39" spans="1:12" x14ac:dyDescent="0.25">
      <c r="A39" s="378"/>
      <c r="B39" s="379" t="s">
        <v>35</v>
      </c>
      <c r="C39" s="378"/>
      <c r="D39" s="380">
        <f>Don_gia_thanh!G102</f>
        <v>882360</v>
      </c>
      <c r="E39" s="381"/>
      <c r="F39" s="381">
        <f>Don_gia_thanh!G111</f>
        <v>70455</v>
      </c>
      <c r="G39" s="381">
        <f>Don_gia_thanh!G114</f>
        <v>100000</v>
      </c>
      <c r="H39" s="337">
        <f t="shared" si="3"/>
        <v>1052815</v>
      </c>
      <c r="I39" s="337">
        <f t="shared" si="4"/>
        <v>157922.25</v>
      </c>
      <c r="J39" s="337">
        <f t="shared" si="5"/>
        <v>1210737.25</v>
      </c>
    </row>
    <row r="40" spans="1:12" x14ac:dyDescent="0.25">
      <c r="A40" s="382"/>
      <c r="B40" s="383" t="s">
        <v>36</v>
      </c>
      <c r="C40" s="382"/>
      <c r="D40" s="384">
        <f>Don_gia_thanh!G102</f>
        <v>882360</v>
      </c>
      <c r="E40" s="385"/>
      <c r="F40" s="385">
        <f>Don_gia_thanh!G112</f>
        <v>83265</v>
      </c>
      <c r="G40" s="385">
        <f>Don_gia_thanh!G114</f>
        <v>100000</v>
      </c>
      <c r="H40" s="337">
        <f t="shared" si="3"/>
        <v>1065625</v>
      </c>
      <c r="I40" s="337">
        <f t="shared" si="4"/>
        <v>159843.75</v>
      </c>
      <c r="J40" s="337">
        <f t="shared" si="5"/>
        <v>1225468.75</v>
      </c>
      <c r="K40" s="340" t="s">
        <v>181</v>
      </c>
      <c r="L40" s="340" t="s">
        <v>182</v>
      </c>
    </row>
    <row r="41" spans="1:12" x14ac:dyDescent="0.25">
      <c r="A41" s="101">
        <v>12</v>
      </c>
      <c r="B41" s="339" t="str">
        <f>Don_gia_thanh!B116</f>
        <v>Báo cáo về kết quả thực hiện đấu giá</v>
      </c>
      <c r="C41" s="101"/>
      <c r="D41" s="363">
        <f>Don_gia_thanh!G117</f>
        <v>1792935</v>
      </c>
      <c r="E41" s="362">
        <f>Don_gia_thanh!G118</f>
        <v>192500</v>
      </c>
      <c r="F41" s="366"/>
      <c r="G41" s="366"/>
      <c r="H41" s="362">
        <f t="shared" si="3"/>
        <v>1985435</v>
      </c>
      <c r="I41" s="362">
        <f t="shared" si="4"/>
        <v>297815.25</v>
      </c>
      <c r="J41" s="362">
        <f t="shared" si="5"/>
        <v>2283250.25</v>
      </c>
      <c r="K41" s="386">
        <f>J6+J15+J16+J17+J18+J19+J20+J21+J22+J24+J25+J26+J27+J29+J30+J32+J41</f>
        <v>55930554.75</v>
      </c>
      <c r="L41" s="386">
        <f>J7+J15+J16+J17+J18+J19+J20+J21+J22+J24+J25+J26+J27+J29+J30+J33+J41</f>
        <v>56255659.75</v>
      </c>
    </row>
  </sheetData>
  <mergeCells count="2">
    <mergeCell ref="A1:J1"/>
    <mergeCell ref="A2:J2"/>
  </mergeCells>
  <pageMargins left="0.54" right="0.17" top="0.28000000000000003" bottom="0.38" header="0.19" footer="0.17"/>
  <pageSetup paperSize="9" orientation="landscape"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selection activeCell="J19" sqref="J19"/>
    </sheetView>
  </sheetViews>
  <sheetFormatPr defaultColWidth="9" defaultRowHeight="16.5" x14ac:dyDescent="0.25"/>
  <cols>
    <col min="1" max="1" width="5.75" style="2" bestFit="1" customWidth="1"/>
    <col min="2" max="2" width="36.375" style="2" customWidth="1"/>
    <col min="3" max="3" width="2.75" style="37" hidden="1" customWidth="1"/>
    <col min="4" max="4" width="10.75" style="321" bestFit="1" customWidth="1"/>
    <col min="5" max="5" width="9" style="2"/>
    <col min="6" max="6" width="13.875" style="2" customWidth="1"/>
    <col min="7" max="7" width="16.5" style="2" customWidth="1"/>
    <col min="8" max="8" width="11.125" style="2" bestFit="1" customWidth="1"/>
    <col min="9" max="9" width="16.125" style="2" customWidth="1"/>
    <col min="10" max="10" width="5.75" style="334" bestFit="1" customWidth="1"/>
    <col min="11" max="11" width="14" style="142" bestFit="1" customWidth="1"/>
    <col min="12" max="13" width="11.125" style="2" bestFit="1" customWidth="1"/>
    <col min="14" max="14" width="10" style="2" bestFit="1" customWidth="1"/>
    <col min="15" max="16384" width="9" style="2"/>
  </cols>
  <sheetData>
    <row r="1" spans="1:11" ht="16.5" customHeight="1" x14ac:dyDescent="0.25">
      <c r="A1" s="742" t="s">
        <v>117</v>
      </c>
      <c r="B1" s="742"/>
      <c r="C1" s="742"/>
      <c r="D1" s="742"/>
      <c r="E1" s="742"/>
      <c r="F1" s="742"/>
      <c r="G1" s="742"/>
      <c r="H1" s="742"/>
      <c r="I1" s="742"/>
      <c r="J1" s="742"/>
      <c r="K1" s="742"/>
    </row>
    <row r="2" spans="1:11" ht="36" customHeight="1" x14ac:dyDescent="0.25">
      <c r="A2" s="743" t="s">
        <v>183</v>
      </c>
      <c r="B2" s="744"/>
      <c r="C2" s="744"/>
      <c r="D2" s="744"/>
      <c r="E2" s="744"/>
      <c r="F2" s="744"/>
      <c r="G2" s="744"/>
      <c r="H2" s="744"/>
      <c r="I2" s="744"/>
      <c r="J2" s="744"/>
      <c r="K2" s="744"/>
    </row>
    <row r="3" spans="1:11" x14ac:dyDescent="0.25">
      <c r="A3" s="132"/>
      <c r="B3" s="132"/>
      <c r="C3" s="132"/>
      <c r="D3" s="312"/>
      <c r="E3" s="132"/>
      <c r="F3" s="132"/>
      <c r="G3" s="132"/>
      <c r="H3" s="132"/>
      <c r="I3" s="132"/>
      <c r="J3" s="332"/>
      <c r="K3" s="133" t="s">
        <v>118</v>
      </c>
    </row>
    <row r="4" spans="1:11" ht="48" customHeight="1" x14ac:dyDescent="0.25">
      <c r="A4" s="304" t="s">
        <v>0</v>
      </c>
      <c r="B4" s="304" t="s">
        <v>1</v>
      </c>
      <c r="C4" s="305" t="s">
        <v>4</v>
      </c>
      <c r="D4" s="313" t="s">
        <v>119</v>
      </c>
      <c r="E4" s="136" t="s">
        <v>120</v>
      </c>
      <c r="F4" s="136" t="s">
        <v>121</v>
      </c>
      <c r="G4" s="137" t="s">
        <v>122</v>
      </c>
      <c r="H4" s="136" t="s">
        <v>123</v>
      </c>
      <c r="I4" s="136" t="s">
        <v>124</v>
      </c>
      <c r="J4" s="333" t="s">
        <v>86</v>
      </c>
      <c r="K4" s="136" t="s">
        <v>78</v>
      </c>
    </row>
    <row r="5" spans="1:11" ht="49.5" x14ac:dyDescent="0.25">
      <c r="A5" s="220">
        <v>1</v>
      </c>
      <c r="B5" s="232" t="str">
        <f>Don_gia_PA!B2</f>
        <v>Kiểm tra lại ranh giới, hiện trạng sử dụng khu đất và phối hợp với địa phương xử lý một số vướng mắc phát sinh (nếu có)</v>
      </c>
      <c r="C5" s="311"/>
      <c r="D5" s="314"/>
      <c r="E5" s="217"/>
      <c r="F5" s="217"/>
      <c r="G5" s="217"/>
      <c r="H5" s="217"/>
      <c r="I5" s="217"/>
      <c r="K5" s="217"/>
    </row>
    <row r="6" spans="1:11" x14ac:dyDescent="0.25">
      <c r="A6" s="218"/>
      <c r="B6" s="240" t="s">
        <v>30</v>
      </c>
      <c r="C6" s="241"/>
      <c r="D6" s="242">
        <f>Don_gia_PA!G3</f>
        <v>1138860</v>
      </c>
      <c r="E6" s="243">
        <f>Don_gia_PA!G4</f>
        <v>102000</v>
      </c>
      <c r="F6" s="243">
        <f>Don_gia_PA!G9</f>
        <v>0</v>
      </c>
      <c r="G6" s="243"/>
      <c r="H6" s="244">
        <f>SUM(D6:G6)</f>
        <v>1240860</v>
      </c>
      <c r="I6" s="244">
        <f>H6*15%</f>
        <v>186129</v>
      </c>
      <c r="J6" s="334">
        <v>1.5</v>
      </c>
      <c r="K6" s="244">
        <f>(H6+I6)*J6</f>
        <v>2140483.5</v>
      </c>
    </row>
    <row r="7" spans="1:11" x14ac:dyDescent="0.25">
      <c r="A7" s="218"/>
      <c r="B7" s="240" t="s">
        <v>31</v>
      </c>
      <c r="C7" s="241"/>
      <c r="D7" s="242">
        <f>Don_gia_PA!G3</f>
        <v>1138860</v>
      </c>
      <c r="E7" s="243">
        <f>Don_gia_PA!G4</f>
        <v>102000</v>
      </c>
      <c r="F7" s="243">
        <f>Don_gia_PA!G10</f>
        <v>21350</v>
      </c>
      <c r="G7" s="243">
        <f>Don_gia_PA!G20</f>
        <v>160000</v>
      </c>
      <c r="H7" s="244">
        <f>SUM(D7:G7)</f>
        <v>1422210</v>
      </c>
      <c r="I7" s="244">
        <f t="shared" ref="I7:I18" si="0">H7*15%</f>
        <v>213331.5</v>
      </c>
      <c r="J7" s="334">
        <v>1.5</v>
      </c>
      <c r="K7" s="244">
        <f>(H7+I7)*J7</f>
        <v>2453312.25</v>
      </c>
    </row>
    <row r="8" spans="1:11" x14ac:dyDescent="0.25">
      <c r="A8" s="218"/>
      <c r="B8" s="240" t="s">
        <v>32</v>
      </c>
      <c r="C8" s="241"/>
      <c r="D8" s="242">
        <f>Don_gia_PA!G3</f>
        <v>1138860</v>
      </c>
      <c r="E8" s="243">
        <f>Don_gia_PA!G4</f>
        <v>102000</v>
      </c>
      <c r="F8" s="243">
        <f>Don_gia_PA!G11</f>
        <v>29890</v>
      </c>
      <c r="G8" s="243">
        <f>Don_gia_PA!G20</f>
        <v>160000</v>
      </c>
      <c r="H8" s="244">
        <f>SUM(D8:G8)</f>
        <v>1430750</v>
      </c>
      <c r="I8" s="244">
        <f t="shared" si="0"/>
        <v>214612.5</v>
      </c>
      <c r="J8" s="334">
        <v>1.5</v>
      </c>
      <c r="K8" s="244">
        <f>(H8+I8)*J8</f>
        <v>2468043.75</v>
      </c>
    </row>
    <row r="9" spans="1:11" x14ac:dyDescent="0.25">
      <c r="A9" s="218"/>
      <c r="B9" s="240" t="s">
        <v>172</v>
      </c>
      <c r="C9" s="241"/>
      <c r="D9" s="242">
        <f>Don_gia_PA!G3</f>
        <v>1138860</v>
      </c>
      <c r="E9" s="243">
        <f>Don_gia_PA!G4</f>
        <v>102000</v>
      </c>
      <c r="F9" s="243">
        <f>Don_gia_PA!G12</f>
        <v>40565</v>
      </c>
      <c r="G9" s="243">
        <f>Don_gia_PA!G20</f>
        <v>160000</v>
      </c>
      <c r="H9" s="244">
        <f t="shared" ref="H9:H18" si="1">SUM(D9:G9)</f>
        <v>1441425</v>
      </c>
      <c r="I9" s="244">
        <f t="shared" si="0"/>
        <v>216213.75</v>
      </c>
      <c r="J9" s="334">
        <v>1.5</v>
      </c>
      <c r="K9" s="244">
        <f t="shared" ref="K9:K17" si="2">(H9+I9)*J9</f>
        <v>2486458.125</v>
      </c>
    </row>
    <row r="10" spans="1:11" x14ac:dyDescent="0.25">
      <c r="A10" s="218"/>
      <c r="B10" s="240" t="s">
        <v>171</v>
      </c>
      <c r="C10" s="241"/>
      <c r="D10" s="242">
        <f>Don_gia_PA!G3</f>
        <v>1138860</v>
      </c>
      <c r="E10" s="243">
        <f>Don_gia_PA!G4</f>
        <v>102000</v>
      </c>
      <c r="F10" s="243">
        <f>Don_gia_PA!G13</f>
        <v>42700</v>
      </c>
      <c r="G10" s="243">
        <f>Don_gia_PA!G20</f>
        <v>160000</v>
      </c>
      <c r="H10" s="244">
        <f>SUM(D10:G10)</f>
        <v>1443560</v>
      </c>
      <c r="I10" s="244">
        <f t="shared" si="0"/>
        <v>216534</v>
      </c>
      <c r="J10" s="334">
        <v>1.5</v>
      </c>
      <c r="K10" s="244">
        <f t="shared" si="2"/>
        <v>2490141</v>
      </c>
    </row>
    <row r="11" spans="1:11" x14ac:dyDescent="0.25">
      <c r="A11" s="218"/>
      <c r="B11" s="240" t="s">
        <v>138</v>
      </c>
      <c r="C11" s="241"/>
      <c r="D11" s="242">
        <f>Don_gia_PA!G3</f>
        <v>1138860</v>
      </c>
      <c r="E11" s="243">
        <f>E9</f>
        <v>102000</v>
      </c>
      <c r="F11" s="243">
        <f>Don_gia_PA!G14</f>
        <v>51240</v>
      </c>
      <c r="G11" s="243">
        <f>Don_gia_PA!G20</f>
        <v>160000</v>
      </c>
      <c r="H11" s="244">
        <f t="shared" si="1"/>
        <v>1452100</v>
      </c>
      <c r="I11" s="244">
        <f t="shared" si="0"/>
        <v>217815</v>
      </c>
      <c r="J11" s="334">
        <v>1.5</v>
      </c>
      <c r="K11" s="244">
        <f t="shared" si="2"/>
        <v>2504872.5</v>
      </c>
    </row>
    <row r="12" spans="1:11" x14ac:dyDescent="0.25">
      <c r="A12" s="218"/>
      <c r="B12" s="240" t="s">
        <v>139</v>
      </c>
      <c r="C12" s="241"/>
      <c r="D12" s="242">
        <f>Don_gia_PA!G3</f>
        <v>1138860</v>
      </c>
      <c r="E12" s="243">
        <f>E6</f>
        <v>102000</v>
      </c>
      <c r="F12" s="243">
        <f>Don_gia_PA!G15</f>
        <v>64050</v>
      </c>
      <c r="G12" s="243">
        <f>Don_gia_PA!G19</f>
        <v>200000</v>
      </c>
      <c r="H12" s="244">
        <f t="shared" si="1"/>
        <v>1504910</v>
      </c>
      <c r="I12" s="244">
        <f t="shared" si="0"/>
        <v>225736.5</v>
      </c>
      <c r="J12" s="334">
        <v>1.5</v>
      </c>
      <c r="K12" s="244">
        <f t="shared" si="2"/>
        <v>2595969.75</v>
      </c>
    </row>
    <row r="13" spans="1:11" x14ac:dyDescent="0.25">
      <c r="A13" s="218"/>
      <c r="B13" s="240" t="s">
        <v>35</v>
      </c>
      <c r="C13" s="241"/>
      <c r="D13" s="242">
        <f>Don_gia_PA!G3</f>
        <v>1138860</v>
      </c>
      <c r="E13" s="243">
        <f>E6</f>
        <v>102000</v>
      </c>
      <c r="F13" s="243">
        <f>Don_gia_PA!G16</f>
        <v>70455</v>
      </c>
      <c r="G13" s="243">
        <f>Don_gia_PA!G19</f>
        <v>200000</v>
      </c>
      <c r="H13" s="244">
        <f t="shared" si="1"/>
        <v>1511315</v>
      </c>
      <c r="I13" s="244">
        <f t="shared" si="0"/>
        <v>226697.25</v>
      </c>
      <c r="J13" s="334">
        <v>1.5</v>
      </c>
      <c r="K13" s="244">
        <f t="shared" si="2"/>
        <v>2607018.375</v>
      </c>
    </row>
    <row r="14" spans="1:11" x14ac:dyDescent="0.25">
      <c r="A14" s="219"/>
      <c r="B14" s="245" t="s">
        <v>36</v>
      </c>
      <c r="C14" s="246"/>
      <c r="D14" s="247">
        <f>Don_gia_PA!G3</f>
        <v>1138860</v>
      </c>
      <c r="E14" s="248">
        <f>E6</f>
        <v>102000</v>
      </c>
      <c r="F14" s="248">
        <f>Don_gia_PA!G17</f>
        <v>83265</v>
      </c>
      <c r="G14" s="248">
        <f>Don_gia_PA!G19</f>
        <v>200000</v>
      </c>
      <c r="H14" s="249">
        <f t="shared" si="1"/>
        <v>1524125</v>
      </c>
      <c r="I14" s="249">
        <f t="shared" si="0"/>
        <v>228618.75</v>
      </c>
      <c r="J14" s="334">
        <v>1.5</v>
      </c>
      <c r="K14" s="244">
        <f t="shared" si="2"/>
        <v>2629115.625</v>
      </c>
    </row>
    <row r="15" spans="1:11" ht="33" x14ac:dyDescent="0.25">
      <c r="A15" s="221">
        <v>2</v>
      </c>
      <c r="B15" s="233" t="str">
        <f>Don_gia_PA!B21</f>
        <v>Thu thập, rà soát hồ sơ, cơ sở pháp lý để lập Phương án</v>
      </c>
      <c r="C15" s="305"/>
      <c r="D15" s="315">
        <f>Don_gia_PA!G22</f>
        <v>1708290</v>
      </c>
      <c r="E15" s="322">
        <f>Don_gia_PA!G23</f>
        <v>204500</v>
      </c>
      <c r="F15" s="136"/>
      <c r="G15" s="136"/>
      <c r="H15" s="160">
        <f t="shared" si="1"/>
        <v>1912790</v>
      </c>
      <c r="I15" s="160">
        <f t="shared" si="0"/>
        <v>286918.5</v>
      </c>
      <c r="J15" s="335">
        <v>1.5</v>
      </c>
      <c r="K15" s="244">
        <f t="shared" si="2"/>
        <v>3299562.75</v>
      </c>
    </row>
    <row r="16" spans="1:11" ht="40.5" customHeight="1" x14ac:dyDescent="0.25">
      <c r="A16" s="221">
        <v>3</v>
      </c>
      <c r="B16" s="233" t="str">
        <f>Don_gia_PA!B28</f>
        <v>Dự thảo Phương án lấy ý kiến các sở, ngành liên quan</v>
      </c>
      <c r="C16" s="305"/>
      <c r="D16" s="315">
        <f>Don_gia_PA!G29</f>
        <v>5124870</v>
      </c>
      <c r="E16" s="322">
        <f>Don_gia_PA!G30</f>
        <v>549500</v>
      </c>
      <c r="F16" s="136"/>
      <c r="G16" s="136"/>
      <c r="H16" s="160">
        <f t="shared" si="1"/>
        <v>5674370</v>
      </c>
      <c r="I16" s="160">
        <f t="shared" si="0"/>
        <v>851155.5</v>
      </c>
      <c r="J16" s="335">
        <v>1.5</v>
      </c>
      <c r="K16" s="244">
        <f>(H16+I16)*J16</f>
        <v>9788288.25</v>
      </c>
    </row>
    <row r="17" spans="1:11" ht="26.25" customHeight="1" x14ac:dyDescent="0.25">
      <c r="A17" s="221">
        <v>4</v>
      </c>
      <c r="B17" s="393" t="str">
        <f>Don_gia_PA!B35</f>
        <v>Tổng hợp ý kiến, hoàn chỉnh phương án</v>
      </c>
      <c r="C17" s="305"/>
      <c r="D17" s="315">
        <f>Don_gia_PA!G36</f>
        <v>3501225</v>
      </c>
      <c r="E17" s="322">
        <f>Don_gia_PA!G37</f>
        <v>292500</v>
      </c>
      <c r="F17" s="136"/>
      <c r="G17" s="136"/>
      <c r="H17" s="160">
        <f t="shared" si="1"/>
        <v>3793725</v>
      </c>
      <c r="I17" s="160">
        <f t="shared" si="0"/>
        <v>569058.75</v>
      </c>
      <c r="J17" s="335">
        <v>1.5</v>
      </c>
      <c r="K17" s="244">
        <f t="shared" si="2"/>
        <v>6544175.625</v>
      </c>
    </row>
    <row r="18" spans="1:11" ht="33" x14ac:dyDescent="0.25">
      <c r="A18" s="221">
        <v>5</v>
      </c>
      <c r="B18" s="233" t="str">
        <f>Don_gia_PA!B40</f>
        <v>Trình cấp thẩm quyền phê duyệt phương án</v>
      </c>
      <c r="C18" s="305"/>
      <c r="D18" s="315">
        <f>Don_gia_PA!G41</f>
        <v>569430</v>
      </c>
      <c r="E18" s="322">
        <f>Don_gia_PA!G42</f>
        <v>192500</v>
      </c>
      <c r="F18" s="136"/>
      <c r="G18" s="136"/>
      <c r="H18" s="160">
        <f t="shared" si="1"/>
        <v>761930</v>
      </c>
      <c r="I18" s="160">
        <f t="shared" si="0"/>
        <v>114289.5</v>
      </c>
      <c r="J18" s="335"/>
      <c r="K18" s="244">
        <f>(H18+I18)</f>
        <v>876219.5</v>
      </c>
    </row>
    <row r="19" spans="1:11" ht="36" customHeight="1" x14ac:dyDescent="0.25">
      <c r="A19" s="91">
        <v>6</v>
      </c>
      <c r="B19" s="233" t="str">
        <f>Don_gia_thanh!B45</f>
        <v>Chuẩn bị hồ sơ đấu giá quyền sử dụng đất</v>
      </c>
      <c r="C19" s="91" t="s">
        <v>44</v>
      </c>
      <c r="D19" s="226">
        <f>Don_gia_thanh!G46</f>
        <v>3529440</v>
      </c>
      <c r="E19" s="160">
        <f>Don_gia_thanh!G47</f>
        <v>295000</v>
      </c>
      <c r="F19" s="161"/>
      <c r="G19" s="161"/>
      <c r="H19" s="160">
        <f>SUM(D19:G19)</f>
        <v>3824440</v>
      </c>
      <c r="I19" s="160">
        <f>H19*15%</f>
        <v>573666</v>
      </c>
      <c r="J19" s="335">
        <v>1.5</v>
      </c>
      <c r="K19" s="244">
        <f>(H19+I19)*J19</f>
        <v>6597159</v>
      </c>
    </row>
    <row r="20" spans="1:11" ht="39" customHeight="1" x14ac:dyDescent="0.25">
      <c r="A20" s="17">
        <v>7</v>
      </c>
      <c r="B20" s="233" t="str">
        <f>Don_gia_thanh!B51</f>
        <v>Trình cơ quan có thẩm quyền quyết định đấu giá quyền sử dụng đất.</v>
      </c>
      <c r="C20" s="91" t="s">
        <v>44</v>
      </c>
      <c r="D20" s="226">
        <f>Don_gia_thanh!G52</f>
        <v>597645</v>
      </c>
      <c r="E20" s="160">
        <f>Don_gia_thanh!G53</f>
        <v>75500</v>
      </c>
      <c r="F20" s="145"/>
      <c r="G20" s="145"/>
      <c r="H20" s="160">
        <f t="shared" ref="H20:H45" si="3">SUM(D20:G20)</f>
        <v>673145</v>
      </c>
      <c r="I20" s="160">
        <f t="shared" ref="I20:I45" si="4">H20*15%</f>
        <v>100971.75</v>
      </c>
      <c r="J20" s="335"/>
      <c r="K20" s="244">
        <f>(H20+I20)</f>
        <v>774116.75</v>
      </c>
    </row>
    <row r="21" spans="1:11" ht="57.75" customHeight="1" x14ac:dyDescent="0.25">
      <c r="A21" s="17">
        <v>8</v>
      </c>
      <c r="B21" s="238" t="str">
        <f>Don_gia_thanh!B56</f>
        <v>Tổ chức thực hiện xác định giá khởi điểm trình cấp có thẩm quyền phê duyệt giá khởi điểm của thửa đất đấu giá</v>
      </c>
      <c r="C21" s="91" t="s">
        <v>44</v>
      </c>
      <c r="D21" s="226">
        <f>Don_gia_thanh!G57</f>
        <v>1138860</v>
      </c>
      <c r="E21" s="160">
        <f>Don_gia_thanh!G58</f>
        <v>290000</v>
      </c>
      <c r="F21" s="144"/>
      <c r="G21" s="145"/>
      <c r="H21" s="160">
        <f t="shared" si="3"/>
        <v>1428860</v>
      </c>
      <c r="I21" s="160">
        <f t="shared" si="4"/>
        <v>214329</v>
      </c>
      <c r="J21" s="335"/>
      <c r="K21" s="160">
        <f>H21+I21</f>
        <v>1643189</v>
      </c>
    </row>
    <row r="22" spans="1:11" ht="49.5" x14ac:dyDescent="0.25">
      <c r="A22" s="17">
        <v>9</v>
      </c>
      <c r="B22" s="54" t="str">
        <f>Don_gia_thanh!B62</f>
        <v>Trình cơ quan có thẩm quyền quyết định bước giá để tổ chức đấu giá quyền sử dụng đất theo quy định.</v>
      </c>
      <c r="C22" s="91"/>
      <c r="D22" s="226">
        <f>Don_gia_thanh!G63</f>
        <v>6833160</v>
      </c>
      <c r="E22" s="160">
        <f>Don_gia_thanh!G64</f>
        <v>290000</v>
      </c>
      <c r="F22" s="144"/>
      <c r="G22" s="145"/>
      <c r="H22" s="160">
        <f t="shared" si="3"/>
        <v>7123160</v>
      </c>
      <c r="I22" s="160">
        <f t="shared" si="4"/>
        <v>1068474</v>
      </c>
      <c r="J22" s="335"/>
      <c r="K22" s="160">
        <f>H22+I22</f>
        <v>8191634</v>
      </c>
    </row>
    <row r="23" spans="1:11" ht="51" customHeight="1" x14ac:dyDescent="0.25">
      <c r="A23" s="17">
        <v>10</v>
      </c>
      <c r="B23" s="238" t="str">
        <f>Don_gia_thanh!B69</f>
        <v>Lựa chọn tổ chức đấu giá tài sản theo Thông tư số 02/2022/TT-BTP ngày 08/02/2022 của Bộ trưởng Bộ Tư pháp.</v>
      </c>
      <c r="C23" s="17"/>
      <c r="D23" s="316"/>
      <c r="E23" s="144"/>
      <c r="F23" s="144"/>
      <c r="G23" s="144"/>
      <c r="H23" s="160"/>
      <c r="I23" s="160"/>
      <c r="J23" s="335"/>
      <c r="K23" s="160"/>
    </row>
    <row r="24" spans="1:11" ht="49.5" x14ac:dyDescent="0.25">
      <c r="A24" s="223" t="s">
        <v>173</v>
      </c>
      <c r="B24" s="239" t="str">
        <f>Don_gia_thanh!B70</f>
        <v xml:space="preserve">Lập hồ sơ, ban hành khung tiêu chí và thông báo công khai tiêu chí lựa chọn tổ chức đấu giá tài sản </v>
      </c>
      <c r="C24" s="223"/>
      <c r="D24" s="317">
        <f>Don_gia_thanh!G71</f>
        <v>3416580</v>
      </c>
      <c r="E24" s="225">
        <f>Don_gia_thanh!G72</f>
        <v>502500</v>
      </c>
      <c r="F24" s="224"/>
      <c r="G24" s="224"/>
      <c r="H24" s="225">
        <f t="shared" si="3"/>
        <v>3919080</v>
      </c>
      <c r="I24" s="225">
        <f t="shared" si="4"/>
        <v>587862</v>
      </c>
      <c r="J24" s="336">
        <v>1.5</v>
      </c>
      <c r="K24" s="244">
        <f>(H24+I24)*J24</f>
        <v>6760413</v>
      </c>
    </row>
    <row r="25" spans="1:11" ht="33" x14ac:dyDescent="0.25">
      <c r="A25" s="223" t="s">
        <v>175</v>
      </c>
      <c r="B25" s="239" t="str">
        <f>Don_gia_thanh!B76</f>
        <v>Đánh giá, chấm điểm theo tiêu chí lựa chọn tổ chức đấu giá tài sản</v>
      </c>
      <c r="C25" s="223"/>
      <c r="D25" s="317">
        <f>Don_gia_thanh!G77</f>
        <v>4270725</v>
      </c>
      <c r="E25" s="225">
        <f>Don_gia_thanh!G78</f>
        <v>212500</v>
      </c>
      <c r="F25" s="224"/>
      <c r="G25" s="224"/>
      <c r="H25" s="225">
        <f t="shared" si="3"/>
        <v>4483225</v>
      </c>
      <c r="I25" s="225">
        <f t="shared" si="4"/>
        <v>672483.75</v>
      </c>
      <c r="J25" s="336">
        <v>1.5</v>
      </c>
      <c r="K25" s="244">
        <f>(H25+I25)*J25</f>
        <v>7733563.125</v>
      </c>
    </row>
    <row r="26" spans="1:11" ht="33" x14ac:dyDescent="0.25">
      <c r="A26" s="223" t="s">
        <v>176</v>
      </c>
      <c r="B26" s="239" t="str">
        <f>Don_gia_thanh!B82</f>
        <v>Thông báo kết quả lựa chọn tổ chức đấu giá tài sản</v>
      </c>
      <c r="C26" s="223"/>
      <c r="D26" s="317">
        <f>Don_gia_thanh!G83</f>
        <v>597645</v>
      </c>
      <c r="E26" s="225">
        <f>Don_gia_thanh!G84</f>
        <v>100000</v>
      </c>
      <c r="F26" s="224"/>
      <c r="G26" s="224"/>
      <c r="H26" s="225">
        <f t="shared" si="3"/>
        <v>697645</v>
      </c>
      <c r="I26" s="225">
        <f t="shared" si="4"/>
        <v>104646.75</v>
      </c>
      <c r="J26" s="336">
        <v>1.5</v>
      </c>
      <c r="K26" s="244">
        <f>(H26+I26)*J26</f>
        <v>1203437.625</v>
      </c>
    </row>
    <row r="27" spans="1:11" ht="33" x14ac:dyDescent="0.25">
      <c r="A27" s="223" t="s">
        <v>177</v>
      </c>
      <c r="B27" s="239" t="str">
        <f>Don_gia_thanh!B87</f>
        <v>Ký hợp đồng với đơn vị thực hiện cuộc bán đấu giá theo quy định</v>
      </c>
      <c r="C27" s="223"/>
      <c r="D27" s="317">
        <f>Don_gia_thanh!G88</f>
        <v>1764720</v>
      </c>
      <c r="E27" s="225">
        <f>Don_gia_thanh!G89</f>
        <v>295000</v>
      </c>
      <c r="F27" s="224"/>
      <c r="G27" s="224"/>
      <c r="H27" s="225">
        <f t="shared" si="3"/>
        <v>2059720</v>
      </c>
      <c r="I27" s="225">
        <f t="shared" si="4"/>
        <v>308958</v>
      </c>
      <c r="J27" s="336">
        <v>1.5</v>
      </c>
      <c r="K27" s="244">
        <f>(H27+I27)*J27</f>
        <v>3553017</v>
      </c>
    </row>
    <row r="28" spans="1:11" ht="160.5" customHeight="1" x14ac:dyDescent="0.25">
      <c r="A28" s="222">
        <v>11</v>
      </c>
      <c r="B28" s="238" t="str">
        <f>Don_gia_thanh!B93</f>
        <v>Phối hợp đơn vị tổ chức đấu giá tài sản thông báo về việc bán đấu giá tài sản; Ban hành Quy chế cuộc bán đấu giá; Thực hiện việc niêm yết đấu giá tài sản và đăng tải thông tin về việc đấu giá tài sản theo quy định; Xét hồ sơ đăng ký tham gia đấu giá; Tổ chức đấu giá quyền sử dụng đất theo quy định; Báo cáo về kết quả thực hiện đấu giá.</v>
      </c>
      <c r="C28" s="17"/>
      <c r="D28" s="316"/>
      <c r="E28" s="144"/>
      <c r="F28" s="144"/>
      <c r="G28" s="144"/>
      <c r="H28" s="160"/>
      <c r="I28" s="160"/>
      <c r="J28" s="335"/>
      <c r="K28" s="160"/>
    </row>
    <row r="29" spans="1:11" ht="104.25" customHeight="1" x14ac:dyDescent="0.25">
      <c r="A29" s="223" t="s">
        <v>178</v>
      </c>
      <c r="B29" s="239" t="str">
        <f>Don_gia_thanh!B94</f>
        <v>Phối hợp đơn vị tổ chức đấu giá tài sản thông báo về việc bán đấu giá tài sản;Ban hành Quy chế cuộc bán đấu giá; Thực hiện việc niêm yết đấu giá tài sản và đăng tải thông tin về việc đấu giá tài sản theo quy định</v>
      </c>
      <c r="C29" s="223"/>
      <c r="D29" s="317">
        <f>Don_gia_thanh!G94</f>
        <v>3416580</v>
      </c>
      <c r="E29" s="224"/>
      <c r="F29" s="224"/>
      <c r="G29" s="224"/>
      <c r="H29" s="225">
        <f t="shared" si="3"/>
        <v>3416580</v>
      </c>
      <c r="I29" s="225">
        <f t="shared" si="4"/>
        <v>512487</v>
      </c>
      <c r="J29" s="336">
        <v>1.5</v>
      </c>
      <c r="K29" s="244">
        <f t="shared" ref="K29:K40" si="5">(H29+I29)*J29</f>
        <v>5893600.5</v>
      </c>
    </row>
    <row r="30" spans="1:11" ht="19.5" customHeight="1" x14ac:dyDescent="0.25">
      <c r="A30" s="223" t="s">
        <v>174</v>
      </c>
      <c r="B30" s="239" t="str">
        <f>Don_gia_thanh!B95</f>
        <v xml:space="preserve"> Xét hồ sơ đăng ký tham gia đấu giá</v>
      </c>
      <c r="C30" s="223"/>
      <c r="D30" s="318">
        <f>Don_gia_thanh!G96</f>
        <v>4555440</v>
      </c>
      <c r="E30" s="224">
        <f>Don_gia_thanh!G97</f>
        <v>202500</v>
      </c>
      <c r="F30" s="224"/>
      <c r="G30" s="224"/>
      <c r="H30" s="225">
        <f t="shared" si="3"/>
        <v>4757940</v>
      </c>
      <c r="I30" s="225">
        <f t="shared" si="4"/>
        <v>713691</v>
      </c>
      <c r="J30" s="336">
        <v>1.5</v>
      </c>
      <c r="K30" s="244">
        <f t="shared" si="5"/>
        <v>8207446.5</v>
      </c>
    </row>
    <row r="31" spans="1:11" ht="33" x14ac:dyDescent="0.25">
      <c r="A31" s="227" t="s">
        <v>179</v>
      </c>
      <c r="B31" s="234" t="str">
        <f>Don_gia_thanh!B101</f>
        <v>Tổ chức đấu giá quyền sử dụng đất theo quy định</v>
      </c>
      <c r="C31" s="227"/>
      <c r="D31" s="319"/>
      <c r="E31" s="228"/>
      <c r="F31" s="228"/>
      <c r="G31" s="228"/>
      <c r="H31" s="229"/>
      <c r="I31" s="229"/>
      <c r="J31" s="336"/>
      <c r="K31" s="244"/>
    </row>
    <row r="32" spans="1:11" x14ac:dyDescent="0.25">
      <c r="A32" s="199"/>
      <c r="B32" s="235" t="s">
        <v>30</v>
      </c>
      <c r="C32" s="199"/>
      <c r="D32" s="320">
        <f>Don_gia_thanh!G102</f>
        <v>882360</v>
      </c>
      <c r="E32" s="230"/>
      <c r="F32" s="230">
        <f>Don_gia_thanh!G104</f>
        <v>0</v>
      </c>
      <c r="G32" s="230"/>
      <c r="H32" s="231">
        <f t="shared" si="3"/>
        <v>882360</v>
      </c>
      <c r="I32" s="231">
        <f t="shared" si="4"/>
        <v>132354</v>
      </c>
      <c r="J32" s="336">
        <v>1.5</v>
      </c>
      <c r="K32" s="244">
        <f t="shared" si="5"/>
        <v>1522071</v>
      </c>
    </row>
    <row r="33" spans="1:14" x14ac:dyDescent="0.25">
      <c r="A33" s="323"/>
      <c r="B33" s="324" t="s">
        <v>31</v>
      </c>
      <c r="C33" s="323"/>
      <c r="D33" s="325">
        <f>Don_gia_thanh!G102</f>
        <v>882360</v>
      </c>
      <c r="E33" s="326"/>
      <c r="F33" s="326">
        <f>Don_gia_thanh!G105</f>
        <v>21350</v>
      </c>
      <c r="G33" s="326">
        <f>Don_gia_thanh!G115</f>
        <v>80000</v>
      </c>
      <c r="H33" s="327">
        <f t="shared" si="3"/>
        <v>983710</v>
      </c>
      <c r="I33" s="327">
        <f t="shared" si="4"/>
        <v>147556.5</v>
      </c>
      <c r="J33" s="336">
        <v>1.5</v>
      </c>
      <c r="K33" s="244">
        <f t="shared" si="5"/>
        <v>1696899.75</v>
      </c>
    </row>
    <row r="34" spans="1:14" x14ac:dyDescent="0.25">
      <c r="A34" s="323"/>
      <c r="B34" s="324" t="s">
        <v>32</v>
      </c>
      <c r="C34" s="323"/>
      <c r="D34" s="325">
        <f>Don_gia_thanh!G102</f>
        <v>882360</v>
      </c>
      <c r="E34" s="326"/>
      <c r="F34" s="326">
        <f>Don_gia_thanh!G106</f>
        <v>29890</v>
      </c>
      <c r="G34" s="326">
        <f>Don_gia_thanh!G115</f>
        <v>80000</v>
      </c>
      <c r="H34" s="327">
        <f t="shared" si="3"/>
        <v>992250</v>
      </c>
      <c r="I34" s="327">
        <f t="shared" si="4"/>
        <v>148837.5</v>
      </c>
      <c r="J34" s="336">
        <v>1.5</v>
      </c>
      <c r="K34" s="244">
        <f t="shared" si="5"/>
        <v>1711631.25</v>
      </c>
    </row>
    <row r="35" spans="1:14" x14ac:dyDescent="0.25">
      <c r="A35" s="323"/>
      <c r="B35" s="324" t="s">
        <v>172</v>
      </c>
      <c r="C35" s="323"/>
      <c r="D35" s="325">
        <f>Don_gia_thanh!G102</f>
        <v>882360</v>
      </c>
      <c r="E35" s="326"/>
      <c r="F35" s="326">
        <f>Don_gia_thanh!G107</f>
        <v>40565</v>
      </c>
      <c r="G35" s="326">
        <f>Don_gia_thanh!G115</f>
        <v>80000</v>
      </c>
      <c r="H35" s="327">
        <f t="shared" si="3"/>
        <v>1002925</v>
      </c>
      <c r="I35" s="327">
        <f t="shared" si="4"/>
        <v>150438.75</v>
      </c>
      <c r="J35" s="336">
        <v>1.5</v>
      </c>
      <c r="K35" s="244">
        <f t="shared" si="5"/>
        <v>1730045.625</v>
      </c>
    </row>
    <row r="36" spans="1:14" x14ac:dyDescent="0.25">
      <c r="A36" s="323"/>
      <c r="B36" s="324" t="s">
        <v>171</v>
      </c>
      <c r="C36" s="323"/>
      <c r="D36" s="325">
        <f>Don_gia_thanh!G102</f>
        <v>882360</v>
      </c>
      <c r="E36" s="326"/>
      <c r="F36" s="326">
        <f>Don_gia_thanh!G108</f>
        <v>42700</v>
      </c>
      <c r="G36" s="326">
        <f>Don_gia_thanh!G115</f>
        <v>80000</v>
      </c>
      <c r="H36" s="327">
        <f t="shared" si="3"/>
        <v>1005060</v>
      </c>
      <c r="I36" s="327">
        <f t="shared" si="4"/>
        <v>150759</v>
      </c>
      <c r="J36" s="336">
        <v>1.5</v>
      </c>
      <c r="K36" s="244">
        <f t="shared" si="5"/>
        <v>1733728.5</v>
      </c>
    </row>
    <row r="37" spans="1:14" x14ac:dyDescent="0.25">
      <c r="A37" s="323"/>
      <c r="B37" s="324" t="s">
        <v>138</v>
      </c>
      <c r="C37" s="323"/>
      <c r="D37" s="325">
        <f>Don_gia_thanh!G102</f>
        <v>882360</v>
      </c>
      <c r="E37" s="326"/>
      <c r="F37" s="326">
        <f>Don_gia_thanh!G109</f>
        <v>51240</v>
      </c>
      <c r="G37" s="326">
        <f>Don_gia_thanh!G115</f>
        <v>80000</v>
      </c>
      <c r="H37" s="327">
        <f t="shared" si="3"/>
        <v>1013600</v>
      </c>
      <c r="I37" s="327">
        <f>H37*15%</f>
        <v>152040</v>
      </c>
      <c r="J37" s="336">
        <v>1.5</v>
      </c>
      <c r="K37" s="244">
        <f t="shared" si="5"/>
        <v>1748460</v>
      </c>
    </row>
    <row r="38" spans="1:14" x14ac:dyDescent="0.25">
      <c r="A38" s="323"/>
      <c r="B38" s="324" t="s">
        <v>139</v>
      </c>
      <c r="C38" s="323"/>
      <c r="D38" s="325">
        <f>Don_gia_thanh!G102</f>
        <v>882360</v>
      </c>
      <c r="E38" s="326"/>
      <c r="F38" s="326">
        <f>Don_gia_thanh!G110</f>
        <v>64050</v>
      </c>
      <c r="G38" s="326">
        <f>Don_gia_thanh!G114</f>
        <v>100000</v>
      </c>
      <c r="H38" s="327">
        <f t="shared" si="3"/>
        <v>1046410</v>
      </c>
      <c r="I38" s="327">
        <f t="shared" si="4"/>
        <v>156961.5</v>
      </c>
      <c r="J38" s="336">
        <v>1.5</v>
      </c>
      <c r="K38" s="244">
        <f t="shared" si="5"/>
        <v>1805057.25</v>
      </c>
    </row>
    <row r="39" spans="1:14" x14ac:dyDescent="0.25">
      <c r="A39" s="323"/>
      <c r="B39" s="324" t="s">
        <v>35</v>
      </c>
      <c r="C39" s="323"/>
      <c r="D39" s="325">
        <f>Don_gia_thanh!G102</f>
        <v>882360</v>
      </c>
      <c r="E39" s="326"/>
      <c r="F39" s="326">
        <f>Don_gia_thanh!G111</f>
        <v>70455</v>
      </c>
      <c r="G39" s="326">
        <f>Don_gia_thanh!G114</f>
        <v>100000</v>
      </c>
      <c r="H39" s="327">
        <f t="shared" si="3"/>
        <v>1052815</v>
      </c>
      <c r="I39" s="327">
        <f t="shared" si="4"/>
        <v>157922.25</v>
      </c>
      <c r="J39" s="336">
        <v>1.5</v>
      </c>
      <c r="K39" s="244">
        <f t="shared" si="5"/>
        <v>1816105.875</v>
      </c>
    </row>
    <row r="40" spans="1:14" x14ac:dyDescent="0.25">
      <c r="A40" s="328"/>
      <c r="B40" s="329" t="s">
        <v>36</v>
      </c>
      <c r="C40" s="328"/>
      <c r="D40" s="330">
        <f>Don_gia_thanh!G102</f>
        <v>882360</v>
      </c>
      <c r="E40" s="331"/>
      <c r="F40" s="331">
        <f>Don_gia_thanh!G112</f>
        <v>83265</v>
      </c>
      <c r="G40" s="331">
        <f>Don_gia_thanh!G114</f>
        <v>100000</v>
      </c>
      <c r="H40" s="327">
        <f t="shared" si="3"/>
        <v>1065625</v>
      </c>
      <c r="I40" s="327">
        <f t="shared" si="4"/>
        <v>159843.75</v>
      </c>
      <c r="J40" s="336">
        <v>1.5</v>
      </c>
      <c r="K40" s="244">
        <f t="shared" si="5"/>
        <v>1838203.125</v>
      </c>
    </row>
    <row r="41" spans="1:14" x14ac:dyDescent="0.25">
      <c r="A41" s="392">
        <v>12</v>
      </c>
      <c r="B41" s="339" t="str">
        <f>Don_gia_thanh!B116</f>
        <v>Báo cáo về kết quả thực hiện đấu giá</v>
      </c>
      <c r="C41" s="392"/>
      <c r="D41" s="435">
        <f>Don_gia_thanh!G117</f>
        <v>1792935</v>
      </c>
      <c r="E41" s="436">
        <f>Don_gia_thanh!G118</f>
        <v>192500</v>
      </c>
      <c r="F41" s="437"/>
      <c r="G41" s="437"/>
      <c r="H41" s="436">
        <f t="shared" si="3"/>
        <v>1985435</v>
      </c>
      <c r="I41" s="436">
        <f t="shared" si="4"/>
        <v>297815.25</v>
      </c>
      <c r="J41" s="438"/>
      <c r="K41" s="436">
        <f>H41+I41</f>
        <v>2283250.25</v>
      </c>
    </row>
    <row r="42" spans="1:14" ht="54" customHeight="1" x14ac:dyDescent="0.25">
      <c r="A42" s="222">
        <v>13</v>
      </c>
      <c r="B42" s="238" t="str">
        <f>Don_gia_thanh!B121</f>
        <v>Tổ chức ký hợp đồng mua bán tài sản đấu giá theo quy định tại Điều 46 Luật Đấu giá tài sản ngày 17/11/2016</v>
      </c>
      <c r="C42" s="17"/>
      <c r="D42" s="226">
        <f>Don_gia_thanh!G122</f>
        <v>1708290</v>
      </c>
      <c r="E42" s="226">
        <f>Don_gia_thanh!G123</f>
        <v>200000</v>
      </c>
      <c r="F42" s="144"/>
      <c r="G42" s="144"/>
      <c r="H42" s="160">
        <f t="shared" si="3"/>
        <v>1908290</v>
      </c>
      <c r="I42" s="160">
        <f t="shared" si="4"/>
        <v>286243.5</v>
      </c>
      <c r="J42" s="335"/>
      <c r="K42" s="160">
        <f>H42+I42</f>
        <v>2194533.5</v>
      </c>
    </row>
    <row r="43" spans="1:14" ht="38.25" customHeight="1" x14ac:dyDescent="0.25">
      <c r="A43" s="222">
        <v>14</v>
      </c>
      <c r="B43" s="238" t="str">
        <f>Don_gia_thanh!B126</f>
        <v>Trình cơ quan có thẩm quyền phê duyệt kết quả đấu giá đấu giá quyền sử dụng đất</v>
      </c>
      <c r="C43" s="17"/>
      <c r="D43" s="226">
        <f>Don_gia_thanh!G127</f>
        <v>1792935</v>
      </c>
      <c r="E43" s="226">
        <f>Don_gia_thanh!G128</f>
        <v>192500</v>
      </c>
      <c r="F43" s="144"/>
      <c r="G43" s="144"/>
      <c r="H43" s="160">
        <f t="shared" si="3"/>
        <v>1985435</v>
      </c>
      <c r="I43" s="160">
        <f t="shared" si="4"/>
        <v>297815.25</v>
      </c>
      <c r="J43" s="335"/>
      <c r="K43" s="160">
        <f>H43+I43</f>
        <v>2283250.25</v>
      </c>
    </row>
    <row r="44" spans="1:14" x14ac:dyDescent="0.25">
      <c r="A44" s="222">
        <v>15</v>
      </c>
      <c r="B44" s="238" t="str">
        <f>Don_gia_thanh!B131</f>
        <v>Nộp tiền sử dụng đất, tiền thuê đất</v>
      </c>
      <c r="C44" s="17"/>
      <c r="D44" s="226">
        <f>Don_gia_thanh!G132</f>
        <v>882360</v>
      </c>
      <c r="E44" s="226">
        <f>Don_gia_thanh!G133</f>
        <v>83000</v>
      </c>
      <c r="F44" s="144"/>
      <c r="G44" s="144"/>
      <c r="H44" s="160">
        <f t="shared" si="3"/>
        <v>965360</v>
      </c>
      <c r="I44" s="160">
        <f t="shared" si="4"/>
        <v>144804</v>
      </c>
      <c r="J44" s="335"/>
      <c r="K44" s="160">
        <f>H44+I44</f>
        <v>1110164</v>
      </c>
      <c r="L44" s="2" t="s">
        <v>181</v>
      </c>
      <c r="M44" s="2" t="s">
        <v>182</v>
      </c>
    </row>
    <row r="45" spans="1:14" ht="49.5" x14ac:dyDescent="0.25">
      <c r="A45" s="222">
        <v>16</v>
      </c>
      <c r="B45" s="238" t="str">
        <f>Don_gia_thanh!B136</f>
        <v>Cấp giấy chứng nhận quyền sử dụng đất, giao đất trên thực địa cho người trúng đấu giá</v>
      </c>
      <c r="C45" s="17"/>
      <c r="D45" s="226">
        <f>Don_gia_thanh!G136</f>
        <v>284715</v>
      </c>
      <c r="E45" s="226"/>
      <c r="F45" s="144"/>
      <c r="G45" s="144"/>
      <c r="H45" s="160">
        <f t="shared" si="3"/>
        <v>284715</v>
      </c>
      <c r="I45" s="160">
        <f t="shared" si="4"/>
        <v>42707.25</v>
      </c>
      <c r="J45" s="335"/>
      <c r="K45" s="160">
        <f>H45+I45</f>
        <v>327422.25</v>
      </c>
      <c r="L45" s="148">
        <f>K6+K15+K16+K17+K18+K19+K20+K21+K22+K24+K25+K26+K27+K29+K30+K32+K41+K42+K43+K44+K45</f>
        <v>82926997.375</v>
      </c>
      <c r="M45" s="148">
        <f>K7+K15+K16+K17+K18+K19+K20+K21+K22+K24+K25+K26+K27+K29+K30+K33+K41+K42+K43+K44+K45</f>
        <v>83414654.875</v>
      </c>
      <c r="N45" s="148"/>
    </row>
    <row r="47" spans="1:14" x14ac:dyDescent="0.25">
      <c r="L47" s="142"/>
      <c r="M47" s="142"/>
    </row>
  </sheetData>
  <mergeCells count="2">
    <mergeCell ref="A1:K1"/>
    <mergeCell ref="A2:K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0"/>
  <sheetViews>
    <sheetView workbookViewId="0">
      <selection activeCell="I8" sqref="I8"/>
    </sheetView>
  </sheetViews>
  <sheetFormatPr defaultColWidth="8.75" defaultRowHeight="15.75" x14ac:dyDescent="0.25"/>
  <cols>
    <col min="1" max="1" width="5" style="611" bestFit="1" customWidth="1"/>
    <col min="2" max="2" width="38.625" style="644" customWidth="1"/>
    <col min="3" max="3" width="33" style="611" customWidth="1"/>
    <col min="4" max="4" width="8.75" style="611"/>
    <col min="5" max="5" width="11.875" style="611" customWidth="1"/>
    <col min="6" max="6" width="13.375" style="611" customWidth="1"/>
    <col min="7" max="7" width="11" style="611" customWidth="1"/>
    <col min="8" max="8" width="12.125" style="611" customWidth="1"/>
    <col min="9" max="9" width="16" style="611" customWidth="1"/>
    <col min="10" max="16384" width="8.75" style="611"/>
  </cols>
  <sheetData>
    <row r="1" spans="1:8" x14ac:dyDescent="0.25">
      <c r="A1" s="746" t="s">
        <v>305</v>
      </c>
      <c r="B1" s="746"/>
      <c r="C1" s="746"/>
      <c r="D1" s="746"/>
      <c r="E1" s="746"/>
      <c r="F1" s="746"/>
      <c r="G1" s="746"/>
      <c r="H1" s="746"/>
    </row>
    <row r="2" spans="1:8" ht="16.149999999999999" customHeight="1" x14ac:dyDescent="0.25"/>
    <row r="3" spans="1:8" ht="55.5" customHeight="1" x14ac:dyDescent="0.25">
      <c r="A3" s="763" t="s">
        <v>0</v>
      </c>
      <c r="B3" s="728" t="s">
        <v>1</v>
      </c>
      <c r="C3" s="763" t="s">
        <v>16</v>
      </c>
      <c r="D3" s="763" t="s">
        <v>4</v>
      </c>
      <c r="E3" s="763" t="s">
        <v>310</v>
      </c>
      <c r="F3" s="763"/>
      <c r="G3" s="764" t="s">
        <v>327</v>
      </c>
      <c r="H3" s="764" t="s">
        <v>306</v>
      </c>
    </row>
    <row r="4" spans="1:8" ht="24" customHeight="1" x14ac:dyDescent="0.25">
      <c r="A4" s="763"/>
      <c r="B4" s="729"/>
      <c r="C4" s="763"/>
      <c r="D4" s="763"/>
      <c r="E4" s="655" t="s">
        <v>2</v>
      </c>
      <c r="F4" s="655" t="s">
        <v>3</v>
      </c>
      <c r="G4" s="765"/>
      <c r="H4" s="765"/>
    </row>
    <row r="5" spans="1:8" ht="16.5" x14ac:dyDescent="0.25">
      <c r="A5" s="655" t="s">
        <v>266</v>
      </c>
      <c r="B5" s="645" t="s">
        <v>192</v>
      </c>
      <c r="C5" s="655"/>
      <c r="D5" s="655"/>
      <c r="E5" s="655"/>
      <c r="F5" s="655"/>
      <c r="G5" s="365"/>
      <c r="H5" s="365"/>
    </row>
    <row r="6" spans="1:8" ht="33" x14ac:dyDescent="0.25">
      <c r="A6" s="654">
        <v>1</v>
      </c>
      <c r="B6" s="649" t="s">
        <v>193</v>
      </c>
      <c r="C6" s="655"/>
      <c r="D6" s="655"/>
      <c r="E6" s="655"/>
      <c r="F6" s="655"/>
      <c r="G6" s="365"/>
      <c r="H6" s="365"/>
    </row>
    <row r="7" spans="1:8" ht="33" x14ac:dyDescent="0.25">
      <c r="A7" s="766" t="s">
        <v>194</v>
      </c>
      <c r="B7" s="751" t="s">
        <v>39</v>
      </c>
      <c r="C7" s="612" t="s">
        <v>311</v>
      </c>
      <c r="D7" s="424" t="s">
        <v>44</v>
      </c>
      <c r="E7" s="424"/>
      <c r="F7" s="424">
        <v>2</v>
      </c>
      <c r="G7" s="657">
        <f>Luong!H11+Luong!H14</f>
        <v>569430</v>
      </c>
      <c r="H7" s="657">
        <f>ROUND(F7*G7,0)</f>
        <v>1138860</v>
      </c>
    </row>
    <row r="8" spans="1:8" ht="16.5" x14ac:dyDescent="0.25">
      <c r="A8" s="767"/>
      <c r="B8" s="752"/>
      <c r="C8" s="613" t="s">
        <v>18</v>
      </c>
      <c r="D8" s="614"/>
      <c r="E8" s="614"/>
      <c r="F8" s="614"/>
      <c r="G8" s="658"/>
      <c r="H8" s="658">
        <f>SUM(H9:H11)</f>
        <v>137682</v>
      </c>
    </row>
    <row r="9" spans="1:8" ht="16.5" x14ac:dyDescent="0.25">
      <c r="A9" s="767"/>
      <c r="B9" s="752"/>
      <c r="C9" s="615" t="s">
        <v>11</v>
      </c>
      <c r="D9" s="652" t="s">
        <v>12</v>
      </c>
      <c r="E9" s="614"/>
      <c r="F9" s="614">
        <v>0.4</v>
      </c>
      <c r="G9" s="659">
        <v>327273</v>
      </c>
      <c r="H9" s="659">
        <f>ROUND(F9*G9,0)</f>
        <v>130909</v>
      </c>
    </row>
    <row r="10" spans="1:8" ht="20.100000000000001" customHeight="1" x14ac:dyDescent="0.25">
      <c r="A10" s="767"/>
      <c r="B10" s="752"/>
      <c r="C10" s="615" t="s">
        <v>5</v>
      </c>
      <c r="D10" s="652" t="s">
        <v>22</v>
      </c>
      <c r="E10" s="614"/>
      <c r="F10" s="614">
        <v>0.2</v>
      </c>
      <c r="G10" s="659">
        <v>3864</v>
      </c>
      <c r="H10" s="659">
        <f>ROUND(F10*G10,0)</f>
        <v>773</v>
      </c>
    </row>
    <row r="11" spans="1:8" ht="16.5" x14ac:dyDescent="0.25">
      <c r="A11" s="767"/>
      <c r="B11" s="752"/>
      <c r="C11" s="615" t="s">
        <v>6</v>
      </c>
      <c r="D11" s="652" t="s">
        <v>29</v>
      </c>
      <c r="E11" s="652"/>
      <c r="F11" s="652">
        <v>0.2</v>
      </c>
      <c r="G11" s="659">
        <v>29999.999999999996</v>
      </c>
      <c r="H11" s="659">
        <f>ROUND(F11*G11,0)</f>
        <v>6000</v>
      </c>
    </row>
    <row r="12" spans="1:8" ht="20.100000000000001" customHeight="1" x14ac:dyDescent="0.25">
      <c r="A12" s="767"/>
      <c r="B12" s="752"/>
      <c r="C12" s="613" t="s">
        <v>312</v>
      </c>
      <c r="D12" s="614"/>
      <c r="E12" s="348"/>
      <c r="F12" s="348"/>
      <c r="G12" s="659"/>
      <c r="H12" s="659"/>
    </row>
    <row r="13" spans="1:8" ht="16.5" x14ac:dyDescent="0.25">
      <c r="A13" s="767"/>
      <c r="B13" s="752"/>
      <c r="C13" s="601" t="s">
        <v>154</v>
      </c>
      <c r="D13" s="614" t="s">
        <v>14</v>
      </c>
      <c r="E13" s="616"/>
      <c r="F13" s="614">
        <v>0</v>
      </c>
      <c r="G13" s="659">
        <v>22610</v>
      </c>
      <c r="H13" s="659">
        <f t="shared" ref="H13:H20" si="0">ROUND(F13*G13,0)</f>
        <v>0</v>
      </c>
    </row>
    <row r="14" spans="1:8" ht="16.5" x14ac:dyDescent="0.25">
      <c r="A14" s="767"/>
      <c r="B14" s="752"/>
      <c r="C14" s="601" t="s">
        <v>155</v>
      </c>
      <c r="D14" s="614" t="s">
        <v>14</v>
      </c>
      <c r="E14" s="616"/>
      <c r="F14" s="614">
        <v>2</v>
      </c>
      <c r="G14" s="659">
        <v>22610</v>
      </c>
      <c r="H14" s="659">
        <f t="shared" si="0"/>
        <v>45220</v>
      </c>
    </row>
    <row r="15" spans="1:8" ht="20.100000000000001" customHeight="1" x14ac:dyDescent="0.25">
      <c r="A15" s="767"/>
      <c r="B15" s="752"/>
      <c r="C15" s="601" t="s">
        <v>156</v>
      </c>
      <c r="D15" s="614" t="s">
        <v>14</v>
      </c>
      <c r="E15" s="616"/>
      <c r="F15" s="614">
        <v>3</v>
      </c>
      <c r="G15" s="659">
        <v>22610</v>
      </c>
      <c r="H15" s="659">
        <f t="shared" si="0"/>
        <v>67830</v>
      </c>
    </row>
    <row r="16" spans="1:8" ht="33" x14ac:dyDescent="0.25">
      <c r="A16" s="767"/>
      <c r="B16" s="752"/>
      <c r="C16" s="601" t="s">
        <v>267</v>
      </c>
      <c r="D16" s="614" t="s">
        <v>14</v>
      </c>
      <c r="E16" s="616"/>
      <c r="F16" s="614">
        <v>4</v>
      </c>
      <c r="G16" s="659">
        <v>22610</v>
      </c>
      <c r="H16" s="659">
        <f>ROUND(F16*G16,0)</f>
        <v>90440</v>
      </c>
    </row>
    <row r="17" spans="1:8" ht="20.100000000000001" customHeight="1" x14ac:dyDescent="0.25">
      <c r="A17" s="767"/>
      <c r="B17" s="752"/>
      <c r="C17" s="601" t="s">
        <v>164</v>
      </c>
      <c r="D17" s="614" t="s">
        <v>14</v>
      </c>
      <c r="E17" s="616"/>
      <c r="F17" s="614">
        <v>5</v>
      </c>
      <c r="G17" s="659">
        <v>22610</v>
      </c>
      <c r="H17" s="659">
        <f t="shared" si="0"/>
        <v>113050</v>
      </c>
    </row>
    <row r="18" spans="1:8" ht="16.5" x14ac:dyDescent="0.25">
      <c r="A18" s="767"/>
      <c r="B18" s="752"/>
      <c r="C18" s="601" t="s">
        <v>160</v>
      </c>
      <c r="D18" s="614" t="s">
        <v>14</v>
      </c>
      <c r="E18" s="616"/>
      <c r="F18" s="614">
        <v>6</v>
      </c>
      <c r="G18" s="659">
        <v>22610</v>
      </c>
      <c r="H18" s="659">
        <f t="shared" si="0"/>
        <v>135660</v>
      </c>
    </row>
    <row r="19" spans="1:8" ht="20.100000000000001" customHeight="1" x14ac:dyDescent="0.25">
      <c r="A19" s="767"/>
      <c r="B19" s="752"/>
      <c r="C19" s="601" t="s">
        <v>163</v>
      </c>
      <c r="D19" s="614" t="s">
        <v>14</v>
      </c>
      <c r="E19" s="616"/>
      <c r="F19" s="614">
        <v>7</v>
      </c>
      <c r="G19" s="659">
        <v>22610</v>
      </c>
      <c r="H19" s="659">
        <f t="shared" si="0"/>
        <v>158270</v>
      </c>
    </row>
    <row r="20" spans="1:8" ht="16.5" x14ac:dyDescent="0.25">
      <c r="A20" s="767"/>
      <c r="B20" s="752"/>
      <c r="C20" s="601" t="s">
        <v>162</v>
      </c>
      <c r="D20" s="614" t="s">
        <v>14</v>
      </c>
      <c r="E20" s="616"/>
      <c r="F20" s="614">
        <v>8</v>
      </c>
      <c r="G20" s="659">
        <v>22610</v>
      </c>
      <c r="H20" s="659">
        <f t="shared" si="0"/>
        <v>180880</v>
      </c>
    </row>
    <row r="21" spans="1:8" ht="16.5" x14ac:dyDescent="0.25">
      <c r="A21" s="767"/>
      <c r="B21" s="752"/>
      <c r="C21" s="617" t="s">
        <v>15</v>
      </c>
      <c r="D21" s="614"/>
      <c r="E21" s="614"/>
      <c r="F21" s="614"/>
      <c r="G21" s="659"/>
      <c r="H21" s="659"/>
    </row>
    <row r="22" spans="1:8" ht="49.5" x14ac:dyDescent="0.25">
      <c r="A22" s="767"/>
      <c r="B22" s="752"/>
      <c r="C22" s="601" t="s">
        <v>255</v>
      </c>
      <c r="D22" s="618" t="s">
        <v>261</v>
      </c>
      <c r="E22" s="619"/>
      <c r="F22" s="618">
        <v>2</v>
      </c>
      <c r="G22" s="660">
        <v>200000</v>
      </c>
      <c r="H22" s="660">
        <f>F22*G22</f>
        <v>400000</v>
      </c>
    </row>
    <row r="23" spans="1:8" ht="33" x14ac:dyDescent="0.25">
      <c r="A23" s="768"/>
      <c r="B23" s="753"/>
      <c r="C23" s="620" t="s">
        <v>256</v>
      </c>
      <c r="D23" s="621" t="s">
        <v>261</v>
      </c>
      <c r="E23" s="622"/>
      <c r="F23" s="621">
        <v>2</v>
      </c>
      <c r="G23" s="661">
        <v>160000</v>
      </c>
      <c r="H23" s="661">
        <f>F23*G23</f>
        <v>320000</v>
      </c>
    </row>
    <row r="24" spans="1:8" ht="33" x14ac:dyDescent="0.25">
      <c r="A24" s="762" t="s">
        <v>195</v>
      </c>
      <c r="B24" s="757" t="s">
        <v>40</v>
      </c>
      <c r="C24" s="612" t="s">
        <v>313</v>
      </c>
      <c r="D24" s="424" t="s">
        <v>44</v>
      </c>
      <c r="E24" s="424">
        <v>6</v>
      </c>
      <c r="F24" s="424"/>
      <c r="G24" s="657">
        <f>Luong!H11+Luong!H14</f>
        <v>569430</v>
      </c>
      <c r="H24" s="657">
        <f>ROUND(E24*G24,0)</f>
        <v>3416580</v>
      </c>
    </row>
    <row r="25" spans="1:8" ht="20.100000000000001" customHeight="1" x14ac:dyDescent="0.25">
      <c r="A25" s="762"/>
      <c r="B25" s="757"/>
      <c r="C25" s="613" t="s">
        <v>18</v>
      </c>
      <c r="D25" s="614"/>
      <c r="E25" s="614"/>
      <c r="F25" s="614"/>
      <c r="G25" s="658"/>
      <c r="H25" s="658">
        <f>SUM(H26:H29)</f>
        <v>95318</v>
      </c>
    </row>
    <row r="26" spans="1:8" ht="20.100000000000001" customHeight="1" x14ac:dyDescent="0.25">
      <c r="A26" s="762"/>
      <c r="B26" s="757"/>
      <c r="C26" s="616" t="s">
        <v>7</v>
      </c>
      <c r="D26" s="614" t="s">
        <v>20</v>
      </c>
      <c r="E26" s="614">
        <v>0.3</v>
      </c>
      <c r="F26" s="614"/>
      <c r="G26" s="623">
        <v>81818</v>
      </c>
      <c r="H26" s="659">
        <f>ROUND(E26*G26,0)</f>
        <v>24545</v>
      </c>
    </row>
    <row r="27" spans="1:8" ht="20.100000000000001" customHeight="1" x14ac:dyDescent="0.25">
      <c r="A27" s="762"/>
      <c r="B27" s="757"/>
      <c r="C27" s="615" t="s">
        <v>8</v>
      </c>
      <c r="D27" s="652" t="s">
        <v>21</v>
      </c>
      <c r="E27" s="614">
        <v>0.1</v>
      </c>
      <c r="F27" s="614"/>
      <c r="G27" s="623">
        <v>681818</v>
      </c>
      <c r="H27" s="659">
        <f>ROUND(E27*G27,0)</f>
        <v>68182</v>
      </c>
    </row>
    <row r="28" spans="1:8" ht="20.100000000000001" customHeight="1" x14ac:dyDescent="0.25">
      <c r="A28" s="762"/>
      <c r="B28" s="757"/>
      <c r="C28" s="616" t="s">
        <v>19</v>
      </c>
      <c r="D28" s="652" t="s">
        <v>21</v>
      </c>
      <c r="E28" s="614">
        <v>0.2</v>
      </c>
      <c r="F28" s="614"/>
      <c r="G28" s="623">
        <v>9091</v>
      </c>
      <c r="H28" s="659">
        <f>ROUND(E28*G28,0)</f>
        <v>1818</v>
      </c>
    </row>
    <row r="29" spans="1:8" ht="20.100000000000001" customHeight="1" x14ac:dyDescent="0.25">
      <c r="A29" s="762"/>
      <c r="B29" s="757"/>
      <c r="C29" s="624" t="s">
        <v>5</v>
      </c>
      <c r="D29" s="653" t="s">
        <v>22</v>
      </c>
      <c r="E29" s="625">
        <v>0.2</v>
      </c>
      <c r="F29" s="625"/>
      <c r="G29" s="626">
        <v>3864</v>
      </c>
      <c r="H29" s="662">
        <f>ROUND(E29*G29,0)</f>
        <v>773</v>
      </c>
    </row>
    <row r="30" spans="1:8" ht="33" x14ac:dyDescent="0.25">
      <c r="A30" s="762" t="s">
        <v>196</v>
      </c>
      <c r="B30" s="757" t="s">
        <v>41</v>
      </c>
      <c r="C30" s="627" t="s">
        <v>314</v>
      </c>
      <c r="D30" s="628" t="s">
        <v>44</v>
      </c>
      <c r="E30" s="424">
        <v>6</v>
      </c>
      <c r="F30" s="628"/>
      <c r="G30" s="657">
        <f>Luong!H11+Luong!H13+Luong!H14</f>
        <v>854145</v>
      </c>
      <c r="H30" s="657">
        <f>ROUND(E30*G30,0)</f>
        <v>5124870</v>
      </c>
    </row>
    <row r="31" spans="1:8" ht="20.100000000000001" customHeight="1" x14ac:dyDescent="0.25">
      <c r="A31" s="762"/>
      <c r="B31" s="757"/>
      <c r="C31" s="613" t="s">
        <v>18</v>
      </c>
      <c r="D31" s="614"/>
      <c r="E31" s="614"/>
      <c r="F31" s="615"/>
      <c r="G31" s="658"/>
      <c r="H31" s="658">
        <f>SUM(H32:H35)</f>
        <v>66489</v>
      </c>
    </row>
    <row r="32" spans="1:8" ht="20.100000000000001" customHeight="1" x14ac:dyDescent="0.25">
      <c r="A32" s="762"/>
      <c r="B32" s="757"/>
      <c r="C32" s="616" t="s">
        <v>7</v>
      </c>
      <c r="D32" s="614" t="s">
        <v>20</v>
      </c>
      <c r="E32" s="614">
        <v>0.2</v>
      </c>
      <c r="F32" s="615"/>
      <c r="G32" s="623">
        <v>81818</v>
      </c>
      <c r="H32" s="659">
        <f>ROUND(E32*G32,0)</f>
        <v>16364</v>
      </c>
    </row>
    <row r="33" spans="1:8" ht="20.100000000000001" customHeight="1" x14ac:dyDescent="0.25">
      <c r="A33" s="762"/>
      <c r="B33" s="757"/>
      <c r="C33" s="615" t="s">
        <v>8</v>
      </c>
      <c r="D33" s="652" t="s">
        <v>21</v>
      </c>
      <c r="E33" s="614">
        <v>7.0000000000000007E-2</v>
      </c>
      <c r="F33" s="615"/>
      <c r="G33" s="623">
        <v>681818</v>
      </c>
      <c r="H33" s="659">
        <f>ROUND(E33*G33,0)</f>
        <v>47727</v>
      </c>
    </row>
    <row r="34" spans="1:8" ht="20.100000000000001" customHeight="1" x14ac:dyDescent="0.25">
      <c r="A34" s="762"/>
      <c r="B34" s="757"/>
      <c r="C34" s="616" t="s">
        <v>19</v>
      </c>
      <c r="D34" s="652" t="s">
        <v>21</v>
      </c>
      <c r="E34" s="614">
        <v>0.2</v>
      </c>
      <c r="F34" s="615"/>
      <c r="G34" s="623">
        <v>9091</v>
      </c>
      <c r="H34" s="659">
        <f>ROUND(E34*G34,0)</f>
        <v>1818</v>
      </c>
    </row>
    <row r="35" spans="1:8" ht="20.100000000000001" customHeight="1" x14ac:dyDescent="0.25">
      <c r="A35" s="762"/>
      <c r="B35" s="757"/>
      <c r="C35" s="624" t="s">
        <v>5</v>
      </c>
      <c r="D35" s="653" t="s">
        <v>22</v>
      </c>
      <c r="E35" s="625">
        <v>0.15</v>
      </c>
      <c r="F35" s="624"/>
      <c r="G35" s="626">
        <v>3864</v>
      </c>
      <c r="H35" s="659">
        <f>ROUND(E35*G35,0)</f>
        <v>580</v>
      </c>
    </row>
    <row r="36" spans="1:8" ht="33" x14ac:dyDescent="0.25">
      <c r="A36" s="758" t="s">
        <v>197</v>
      </c>
      <c r="B36" s="757" t="s">
        <v>42</v>
      </c>
      <c r="C36" s="612" t="s">
        <v>315</v>
      </c>
      <c r="D36" s="424" t="s">
        <v>44</v>
      </c>
      <c r="E36" s="424">
        <v>3</v>
      </c>
      <c r="F36" s="629"/>
      <c r="G36" s="657">
        <f>Luong!H11+Luong!H12+Luong!H13+Luong!H14</f>
        <v>1138860</v>
      </c>
      <c r="H36" s="657">
        <f>ROUND(E36*G36,0)</f>
        <v>3416580</v>
      </c>
    </row>
    <row r="37" spans="1:8" ht="20.100000000000001" customHeight="1" x14ac:dyDescent="0.25">
      <c r="A37" s="758"/>
      <c r="B37" s="757"/>
      <c r="C37" s="613" t="s">
        <v>18</v>
      </c>
      <c r="D37" s="614"/>
      <c r="E37" s="614"/>
      <c r="F37" s="615"/>
      <c r="G37" s="663"/>
      <c r="H37" s="663">
        <f>SUM(H38:H39)</f>
        <v>37091</v>
      </c>
    </row>
    <row r="38" spans="1:8" ht="20.100000000000001" customHeight="1" x14ac:dyDescent="0.25">
      <c r="A38" s="758"/>
      <c r="B38" s="757"/>
      <c r="C38" s="616" t="s">
        <v>7</v>
      </c>
      <c r="D38" s="614" t="s">
        <v>20</v>
      </c>
      <c r="E38" s="614">
        <v>0.12</v>
      </c>
      <c r="F38" s="615"/>
      <c r="G38" s="623">
        <v>81818</v>
      </c>
      <c r="H38" s="623">
        <f>ROUND(E38*G38,0)</f>
        <v>9818</v>
      </c>
    </row>
    <row r="39" spans="1:8" ht="20.100000000000001" customHeight="1" x14ac:dyDescent="0.25">
      <c r="A39" s="758"/>
      <c r="B39" s="757"/>
      <c r="C39" s="624" t="s">
        <v>8</v>
      </c>
      <c r="D39" s="653" t="s">
        <v>21</v>
      </c>
      <c r="E39" s="625">
        <v>0.04</v>
      </c>
      <c r="F39" s="624"/>
      <c r="G39" s="623">
        <v>681818</v>
      </c>
      <c r="H39" s="626">
        <f>ROUND(E39*G39,0)</f>
        <v>27273</v>
      </c>
    </row>
    <row r="40" spans="1:8" ht="33" x14ac:dyDescent="0.25">
      <c r="A40" s="759">
        <v>2</v>
      </c>
      <c r="B40" s="754" t="s">
        <v>43</v>
      </c>
      <c r="C40" s="612" t="s">
        <v>313</v>
      </c>
      <c r="D40" s="424" t="s">
        <v>44</v>
      </c>
      <c r="E40" s="424">
        <v>1</v>
      </c>
      <c r="F40" s="629"/>
      <c r="G40" s="657">
        <f>Luong!H11+Luong!H14</f>
        <v>569430</v>
      </c>
      <c r="H40" s="657">
        <f>ROUND(E40*G40,0)</f>
        <v>569430</v>
      </c>
    </row>
    <row r="41" spans="1:8" ht="20.100000000000001" customHeight="1" x14ac:dyDescent="0.25">
      <c r="A41" s="760"/>
      <c r="B41" s="755"/>
      <c r="C41" s="613" t="s">
        <v>18</v>
      </c>
      <c r="D41" s="614"/>
      <c r="E41" s="614"/>
      <c r="F41" s="615"/>
      <c r="G41" s="658"/>
      <c r="H41" s="658">
        <f>SUM(H42:H43)</f>
        <v>28637</v>
      </c>
    </row>
    <row r="42" spans="1:8" ht="20.100000000000001" customHeight="1" x14ac:dyDescent="0.25">
      <c r="A42" s="760"/>
      <c r="B42" s="755"/>
      <c r="C42" s="616" t="s">
        <v>7</v>
      </c>
      <c r="D42" s="614" t="s">
        <v>20</v>
      </c>
      <c r="E42" s="614">
        <v>0.1</v>
      </c>
      <c r="F42" s="615"/>
      <c r="G42" s="623">
        <v>81818</v>
      </c>
      <c r="H42" s="659">
        <f>ROUND(E42*G42,0)</f>
        <v>8182</v>
      </c>
    </row>
    <row r="43" spans="1:8" ht="20.100000000000001" customHeight="1" x14ac:dyDescent="0.25">
      <c r="A43" s="761"/>
      <c r="B43" s="756"/>
      <c r="C43" s="624" t="s">
        <v>8</v>
      </c>
      <c r="D43" s="653" t="s">
        <v>21</v>
      </c>
      <c r="E43" s="625">
        <v>0.03</v>
      </c>
      <c r="F43" s="624"/>
      <c r="G43" s="623">
        <v>681818</v>
      </c>
      <c r="H43" s="662">
        <f>ROUND(E43*G43,0)</f>
        <v>20455</v>
      </c>
    </row>
    <row r="44" spans="1:8" ht="20.100000000000001" customHeight="1" x14ac:dyDescent="0.25">
      <c r="A44" s="638" t="s">
        <v>266</v>
      </c>
      <c r="B44" s="646" t="s">
        <v>199</v>
      </c>
      <c r="C44" s="630"/>
      <c r="D44" s="648"/>
      <c r="E44" s="656"/>
      <c r="F44" s="631"/>
      <c r="G44" s="365"/>
      <c r="H44" s="365"/>
    </row>
    <row r="45" spans="1:8" ht="20.100000000000001" customHeight="1" x14ac:dyDescent="0.25">
      <c r="A45" s="630"/>
      <c r="B45" s="645" t="s">
        <v>146</v>
      </c>
      <c r="C45" s="630"/>
      <c r="D45" s="650"/>
      <c r="E45" s="654"/>
      <c r="F45" s="630"/>
      <c r="G45" s="365"/>
      <c r="H45" s="365"/>
    </row>
    <row r="46" spans="1:8" ht="20.100000000000001" customHeight="1" x14ac:dyDescent="0.25">
      <c r="A46" s="650">
        <v>3</v>
      </c>
      <c r="B46" s="649" t="s">
        <v>72</v>
      </c>
      <c r="C46" s="630"/>
      <c r="D46" s="632"/>
      <c r="E46" s="647"/>
      <c r="F46" s="632"/>
      <c r="G46" s="365"/>
      <c r="H46" s="365"/>
    </row>
    <row r="47" spans="1:8" ht="33" x14ac:dyDescent="0.25">
      <c r="A47" s="748" t="s">
        <v>268</v>
      </c>
      <c r="B47" s="751" t="s">
        <v>214</v>
      </c>
      <c r="C47" s="612" t="s">
        <v>316</v>
      </c>
      <c r="D47" s="424" t="s">
        <v>44</v>
      </c>
      <c r="E47" s="651">
        <v>5</v>
      </c>
      <c r="F47" s="629"/>
      <c r="G47" s="657">
        <f>Luong!H11+Luong!H13</f>
        <v>541215</v>
      </c>
      <c r="H47" s="657">
        <f>ROUND(E47*G47,0)</f>
        <v>2706075</v>
      </c>
    </row>
    <row r="48" spans="1:8" ht="20.100000000000001" customHeight="1" x14ac:dyDescent="0.25">
      <c r="A48" s="749"/>
      <c r="B48" s="752"/>
      <c r="C48" s="613" t="s">
        <v>18</v>
      </c>
      <c r="D48" s="614"/>
      <c r="E48" s="614"/>
      <c r="F48" s="615"/>
      <c r="G48" s="664"/>
      <c r="H48" s="665">
        <f>SUM(H49:H51)</f>
        <v>65909</v>
      </c>
    </row>
    <row r="49" spans="1:8" ht="20.100000000000001" customHeight="1" x14ac:dyDescent="0.25">
      <c r="A49" s="749"/>
      <c r="B49" s="752"/>
      <c r="C49" s="616" t="s">
        <v>7</v>
      </c>
      <c r="D49" s="614" t="s">
        <v>20</v>
      </c>
      <c r="E49" s="614">
        <v>0.2</v>
      </c>
      <c r="F49" s="615"/>
      <c r="G49" s="623">
        <v>81818</v>
      </c>
      <c r="H49" s="659">
        <f>ROUND(E49*G49,0)</f>
        <v>16364</v>
      </c>
    </row>
    <row r="50" spans="1:8" ht="20.100000000000001" customHeight="1" x14ac:dyDescent="0.25">
      <c r="A50" s="749"/>
      <c r="B50" s="752"/>
      <c r="C50" s="615" t="s">
        <v>8</v>
      </c>
      <c r="D50" s="652" t="s">
        <v>21</v>
      </c>
      <c r="E50" s="614">
        <v>7.0000000000000007E-2</v>
      </c>
      <c r="F50" s="615"/>
      <c r="G50" s="623">
        <v>681818</v>
      </c>
      <c r="H50" s="659">
        <f>ROUND(E50*G50,0)</f>
        <v>47727</v>
      </c>
    </row>
    <row r="51" spans="1:8" ht="20.100000000000001" customHeight="1" x14ac:dyDescent="0.25">
      <c r="A51" s="750"/>
      <c r="B51" s="753"/>
      <c r="C51" s="633" t="s">
        <v>19</v>
      </c>
      <c r="D51" s="653" t="s">
        <v>21</v>
      </c>
      <c r="E51" s="625">
        <v>0.2</v>
      </c>
      <c r="F51" s="624"/>
      <c r="G51" s="626">
        <v>9091</v>
      </c>
      <c r="H51" s="662">
        <f>ROUND(E51*G51,0)</f>
        <v>1818</v>
      </c>
    </row>
    <row r="52" spans="1:8" ht="33" x14ac:dyDescent="0.25">
      <c r="A52" s="759" t="s">
        <v>269</v>
      </c>
      <c r="B52" s="754" t="s">
        <v>200</v>
      </c>
      <c r="C52" s="612" t="s">
        <v>313</v>
      </c>
      <c r="D52" s="424" t="s">
        <v>44</v>
      </c>
      <c r="E52" s="424">
        <v>1</v>
      </c>
      <c r="F52" s="629"/>
      <c r="G52" s="657">
        <f>Luong!H11+Luong!H14</f>
        <v>569430</v>
      </c>
      <c r="H52" s="657">
        <f>ROUND(E52*G52,0)</f>
        <v>569430</v>
      </c>
    </row>
    <row r="53" spans="1:8" ht="20.100000000000001" customHeight="1" x14ac:dyDescent="0.25">
      <c r="A53" s="760"/>
      <c r="B53" s="755"/>
      <c r="C53" s="613" t="s">
        <v>18</v>
      </c>
      <c r="D53" s="614"/>
      <c r="E53" s="614"/>
      <c r="F53" s="615"/>
      <c r="G53" s="658"/>
      <c r="H53" s="658">
        <f>SUM(H54:H55)</f>
        <v>17727</v>
      </c>
    </row>
    <row r="54" spans="1:8" ht="20.100000000000001" customHeight="1" x14ac:dyDescent="0.25">
      <c r="A54" s="760"/>
      <c r="B54" s="755"/>
      <c r="C54" s="616" t="s">
        <v>7</v>
      </c>
      <c r="D54" s="614" t="s">
        <v>20</v>
      </c>
      <c r="E54" s="614">
        <v>0.05</v>
      </c>
      <c r="F54" s="615"/>
      <c r="G54" s="623">
        <v>81818</v>
      </c>
      <c r="H54" s="659">
        <f>ROUND(E54*G54,0)</f>
        <v>4091</v>
      </c>
    </row>
    <row r="55" spans="1:8" ht="20.100000000000001" customHeight="1" x14ac:dyDescent="0.25">
      <c r="A55" s="761"/>
      <c r="B55" s="756"/>
      <c r="C55" s="624" t="s">
        <v>8</v>
      </c>
      <c r="D55" s="653" t="s">
        <v>21</v>
      </c>
      <c r="E55" s="625">
        <v>0.02</v>
      </c>
      <c r="F55" s="624"/>
      <c r="G55" s="623">
        <v>681818</v>
      </c>
      <c r="H55" s="662">
        <f>ROUND(E55*G55,0)</f>
        <v>13636</v>
      </c>
    </row>
    <row r="56" spans="1:8" ht="31.5" customHeight="1" x14ac:dyDescent="0.25">
      <c r="A56" s="759">
        <v>4</v>
      </c>
      <c r="B56" s="754" t="s">
        <v>165</v>
      </c>
      <c r="C56" s="612" t="s">
        <v>313</v>
      </c>
      <c r="D56" s="651" t="s">
        <v>44</v>
      </c>
      <c r="E56" s="651">
        <v>1</v>
      </c>
      <c r="F56" s="629"/>
      <c r="G56" s="657">
        <f>Luong!H11+Luong!H14</f>
        <v>569430</v>
      </c>
      <c r="H56" s="657">
        <f>ROUND(E56*G56,0)</f>
        <v>569430</v>
      </c>
    </row>
    <row r="57" spans="1:8" ht="20.100000000000001" customHeight="1" x14ac:dyDescent="0.25">
      <c r="A57" s="760"/>
      <c r="B57" s="755"/>
      <c r="C57" s="613" t="s">
        <v>18</v>
      </c>
      <c r="D57" s="614"/>
      <c r="E57" s="614"/>
      <c r="F57" s="615"/>
      <c r="G57" s="658"/>
      <c r="H57" s="658">
        <f>SUM(H58:H59)</f>
        <v>17727</v>
      </c>
    </row>
    <row r="58" spans="1:8" ht="20.100000000000001" customHeight="1" x14ac:dyDescent="0.25">
      <c r="A58" s="760"/>
      <c r="B58" s="755"/>
      <c r="C58" s="616" t="s">
        <v>7</v>
      </c>
      <c r="D58" s="614" t="s">
        <v>20</v>
      </c>
      <c r="E58" s="614">
        <v>0.05</v>
      </c>
      <c r="F58" s="615"/>
      <c r="G58" s="623">
        <v>81818</v>
      </c>
      <c r="H58" s="659">
        <f>ROUND(E58*G58,0)</f>
        <v>4091</v>
      </c>
    </row>
    <row r="59" spans="1:8" ht="20.100000000000001" customHeight="1" x14ac:dyDescent="0.25">
      <c r="A59" s="761"/>
      <c r="B59" s="756"/>
      <c r="C59" s="624" t="s">
        <v>8</v>
      </c>
      <c r="D59" s="653" t="s">
        <v>21</v>
      </c>
      <c r="E59" s="625">
        <v>0.02</v>
      </c>
      <c r="F59" s="624"/>
      <c r="G59" s="623">
        <v>681818</v>
      </c>
      <c r="H59" s="662">
        <f>ROUND(E59*G59,0)</f>
        <v>13636</v>
      </c>
    </row>
    <row r="60" spans="1:8" ht="33" x14ac:dyDescent="0.25">
      <c r="A60" s="759">
        <v>5</v>
      </c>
      <c r="B60" s="754" t="s">
        <v>309</v>
      </c>
      <c r="C60" s="612" t="s">
        <v>311</v>
      </c>
      <c r="D60" s="651" t="s">
        <v>44</v>
      </c>
      <c r="E60" s="651">
        <v>4</v>
      </c>
      <c r="F60" s="629"/>
      <c r="G60" s="657">
        <f>Luong!H11+Luong!H14</f>
        <v>569430</v>
      </c>
      <c r="H60" s="657">
        <f>ROUND(E60*G60,0)</f>
        <v>2277720</v>
      </c>
    </row>
    <row r="61" spans="1:8" ht="20.100000000000001" customHeight="1" x14ac:dyDescent="0.25">
      <c r="A61" s="760"/>
      <c r="B61" s="755"/>
      <c r="C61" s="613" t="s">
        <v>18</v>
      </c>
      <c r="D61" s="614"/>
      <c r="E61" s="614"/>
      <c r="F61" s="615"/>
      <c r="G61" s="664"/>
      <c r="H61" s="665">
        <f>SUM(H62:H64)</f>
        <v>47273</v>
      </c>
    </row>
    <row r="62" spans="1:8" ht="20.100000000000001" customHeight="1" x14ac:dyDescent="0.25">
      <c r="A62" s="760"/>
      <c r="B62" s="755"/>
      <c r="C62" s="616" t="s">
        <v>7</v>
      </c>
      <c r="D62" s="614" t="s">
        <v>20</v>
      </c>
      <c r="E62" s="614">
        <v>0.15</v>
      </c>
      <c r="F62" s="615"/>
      <c r="G62" s="623">
        <v>81818</v>
      </c>
      <c r="H62" s="659">
        <f>ROUND(E62*G62,0)</f>
        <v>12273</v>
      </c>
    </row>
    <row r="63" spans="1:8" ht="20.100000000000001" customHeight="1" x14ac:dyDescent="0.25">
      <c r="A63" s="760"/>
      <c r="B63" s="755"/>
      <c r="C63" s="615" t="s">
        <v>8</v>
      </c>
      <c r="D63" s="652" t="s">
        <v>21</v>
      </c>
      <c r="E63" s="614">
        <v>0.05</v>
      </c>
      <c r="F63" s="615"/>
      <c r="G63" s="623">
        <v>681818</v>
      </c>
      <c r="H63" s="659">
        <f>ROUND(E63*G63,0)</f>
        <v>34091</v>
      </c>
    </row>
    <row r="64" spans="1:8" ht="20.100000000000001" customHeight="1" x14ac:dyDescent="0.25">
      <c r="A64" s="761"/>
      <c r="B64" s="756"/>
      <c r="C64" s="633" t="s">
        <v>19</v>
      </c>
      <c r="D64" s="653" t="s">
        <v>21</v>
      </c>
      <c r="E64" s="625">
        <v>0.1</v>
      </c>
      <c r="F64" s="624"/>
      <c r="G64" s="623">
        <v>9091</v>
      </c>
      <c r="H64" s="662">
        <f>ROUND(E64*G64,0)</f>
        <v>909</v>
      </c>
    </row>
    <row r="65" spans="1:8" ht="51" customHeight="1" x14ac:dyDescent="0.25">
      <c r="A65" s="650">
        <v>6</v>
      </c>
      <c r="B65" s="649" t="s">
        <v>213</v>
      </c>
      <c r="C65" s="630"/>
      <c r="D65" s="630"/>
      <c r="E65" s="650"/>
      <c r="F65" s="630"/>
      <c r="G65" s="365"/>
      <c r="H65" s="365"/>
    </row>
    <row r="66" spans="1:8" ht="33" x14ac:dyDescent="0.25">
      <c r="A66" s="748" t="s">
        <v>270</v>
      </c>
      <c r="B66" s="757" t="s">
        <v>50</v>
      </c>
      <c r="C66" s="612" t="s">
        <v>317</v>
      </c>
      <c r="D66" s="651" t="s">
        <v>44</v>
      </c>
      <c r="E66" s="651">
        <v>6</v>
      </c>
      <c r="F66" s="629"/>
      <c r="G66" s="657">
        <f>Luong!H11+Luong!H13+Luong!H14</f>
        <v>854145</v>
      </c>
      <c r="H66" s="657">
        <f>ROUND(E66*G66,0)</f>
        <v>5124870</v>
      </c>
    </row>
    <row r="67" spans="1:8" ht="16.5" x14ac:dyDescent="0.25">
      <c r="A67" s="749"/>
      <c r="B67" s="757"/>
      <c r="C67" s="613" t="s">
        <v>18</v>
      </c>
      <c r="D67" s="614"/>
      <c r="E67" s="614"/>
      <c r="F67" s="615"/>
      <c r="G67" s="664"/>
      <c r="H67" s="665">
        <f>SUM(H68:H70)</f>
        <v>76818</v>
      </c>
    </row>
    <row r="68" spans="1:8" ht="18" customHeight="1" x14ac:dyDescent="0.25">
      <c r="A68" s="749"/>
      <c r="B68" s="757"/>
      <c r="C68" s="616" t="s">
        <v>7</v>
      </c>
      <c r="D68" s="614" t="s">
        <v>20</v>
      </c>
      <c r="E68" s="614">
        <v>0.25</v>
      </c>
      <c r="F68" s="615"/>
      <c r="G68" s="623">
        <v>81818</v>
      </c>
      <c r="H68" s="659">
        <f>ROUND(E68*G68,0)</f>
        <v>20455</v>
      </c>
    </row>
    <row r="69" spans="1:8" ht="18" customHeight="1" x14ac:dyDescent="0.25">
      <c r="A69" s="749"/>
      <c r="B69" s="757"/>
      <c r="C69" s="615" t="s">
        <v>8</v>
      </c>
      <c r="D69" s="652" t="s">
        <v>21</v>
      </c>
      <c r="E69" s="614">
        <v>0.08</v>
      </c>
      <c r="F69" s="615"/>
      <c r="G69" s="623">
        <v>681818</v>
      </c>
      <c r="H69" s="659">
        <f>ROUND(E69*G69,0)</f>
        <v>54545</v>
      </c>
    </row>
    <row r="70" spans="1:8" ht="18" customHeight="1" x14ac:dyDescent="0.25">
      <c r="A70" s="750"/>
      <c r="B70" s="757"/>
      <c r="C70" s="633" t="s">
        <v>19</v>
      </c>
      <c r="D70" s="653" t="s">
        <v>21</v>
      </c>
      <c r="E70" s="625">
        <v>0.2</v>
      </c>
      <c r="F70" s="624"/>
      <c r="G70" s="623">
        <v>9091</v>
      </c>
      <c r="H70" s="662">
        <f>ROUND(E70*G70,0)</f>
        <v>1818</v>
      </c>
    </row>
    <row r="71" spans="1:8" ht="33" customHeight="1" x14ac:dyDescent="0.25">
      <c r="A71" s="748" t="s">
        <v>271</v>
      </c>
      <c r="B71" s="751" t="s">
        <v>51</v>
      </c>
      <c r="C71" s="612" t="s">
        <v>315</v>
      </c>
      <c r="D71" s="651" t="s">
        <v>44</v>
      </c>
      <c r="E71" s="651">
        <v>3</v>
      </c>
      <c r="F71" s="629"/>
      <c r="G71" s="657">
        <f>Luong!H11+Luong!H12+Luong!H13+Luong!H14</f>
        <v>1138860</v>
      </c>
      <c r="H71" s="657">
        <f>ROUND(E71*G71,0)</f>
        <v>3416580</v>
      </c>
    </row>
    <row r="72" spans="1:8" ht="15.95" customHeight="1" x14ac:dyDescent="0.25">
      <c r="A72" s="749"/>
      <c r="B72" s="752"/>
      <c r="C72" s="613" t="s">
        <v>18</v>
      </c>
      <c r="D72" s="614"/>
      <c r="E72" s="614"/>
      <c r="F72" s="615"/>
      <c r="G72" s="664"/>
      <c r="H72" s="665">
        <f>SUM(H73:H75)</f>
        <v>94545</v>
      </c>
    </row>
    <row r="73" spans="1:8" ht="15.95" customHeight="1" x14ac:dyDescent="0.25">
      <c r="A73" s="749"/>
      <c r="B73" s="752"/>
      <c r="C73" s="616" t="s">
        <v>7</v>
      </c>
      <c r="D73" s="614" t="s">
        <v>20</v>
      </c>
      <c r="E73" s="614">
        <v>0.3</v>
      </c>
      <c r="F73" s="615"/>
      <c r="G73" s="623">
        <v>81818</v>
      </c>
      <c r="H73" s="659">
        <f>ROUND(E73*G73,0)</f>
        <v>24545</v>
      </c>
    </row>
    <row r="74" spans="1:8" ht="15.95" customHeight="1" x14ac:dyDescent="0.25">
      <c r="A74" s="749"/>
      <c r="B74" s="752"/>
      <c r="C74" s="615" t="s">
        <v>8</v>
      </c>
      <c r="D74" s="652" t="s">
        <v>21</v>
      </c>
      <c r="E74" s="614">
        <v>0.1</v>
      </c>
      <c r="F74" s="615"/>
      <c r="G74" s="623">
        <v>681818</v>
      </c>
      <c r="H74" s="659">
        <f>ROUND(E74*G74,0)</f>
        <v>68182</v>
      </c>
    </row>
    <row r="75" spans="1:8" ht="15.95" customHeight="1" x14ac:dyDescent="0.25">
      <c r="A75" s="750"/>
      <c r="B75" s="753"/>
      <c r="C75" s="633" t="s">
        <v>19</v>
      </c>
      <c r="D75" s="653" t="s">
        <v>21</v>
      </c>
      <c r="E75" s="625">
        <v>0.2</v>
      </c>
      <c r="F75" s="624"/>
      <c r="G75" s="623">
        <v>9091</v>
      </c>
      <c r="H75" s="662">
        <f>ROUND(E75*G75,0)</f>
        <v>1818</v>
      </c>
    </row>
    <row r="76" spans="1:8" ht="30.75" customHeight="1" x14ac:dyDescent="0.25">
      <c r="A76" s="759" t="s">
        <v>272</v>
      </c>
      <c r="B76" s="754" t="s">
        <v>52</v>
      </c>
      <c r="C76" s="612" t="s">
        <v>318</v>
      </c>
      <c r="D76" s="651" t="s">
        <v>44</v>
      </c>
      <c r="E76" s="651">
        <v>1</v>
      </c>
      <c r="F76" s="629"/>
      <c r="G76" s="657">
        <f>Luong!H13+Luong!H14</f>
        <v>597645</v>
      </c>
      <c r="H76" s="657">
        <f>ROUND(E76*G76,0)</f>
        <v>597645</v>
      </c>
    </row>
    <row r="77" spans="1:8" ht="16.5" x14ac:dyDescent="0.25">
      <c r="A77" s="760"/>
      <c r="B77" s="755"/>
      <c r="C77" s="613" t="s">
        <v>18</v>
      </c>
      <c r="D77" s="614"/>
      <c r="E77" s="614"/>
      <c r="F77" s="615"/>
      <c r="G77" s="658"/>
      <c r="H77" s="658">
        <f>SUM(H78:H79)</f>
        <v>27000</v>
      </c>
    </row>
    <row r="78" spans="1:8" ht="20.100000000000001" customHeight="1" x14ac:dyDescent="0.25">
      <c r="A78" s="760"/>
      <c r="B78" s="755"/>
      <c r="C78" s="616" t="s">
        <v>7</v>
      </c>
      <c r="D78" s="614" t="s">
        <v>20</v>
      </c>
      <c r="E78" s="614">
        <v>0.08</v>
      </c>
      <c r="F78" s="615"/>
      <c r="G78" s="623">
        <v>81818</v>
      </c>
      <c r="H78" s="659">
        <f>ROUND(E78*G78,0)</f>
        <v>6545</v>
      </c>
    </row>
    <row r="79" spans="1:8" ht="20.100000000000001" customHeight="1" x14ac:dyDescent="0.25">
      <c r="A79" s="761"/>
      <c r="B79" s="756"/>
      <c r="C79" s="624" t="s">
        <v>8</v>
      </c>
      <c r="D79" s="653" t="s">
        <v>21</v>
      </c>
      <c r="E79" s="625">
        <v>0.03</v>
      </c>
      <c r="F79" s="624"/>
      <c r="G79" s="623">
        <v>681818</v>
      </c>
      <c r="H79" s="662">
        <f>ROUND(E79*G79,0)</f>
        <v>20455</v>
      </c>
    </row>
    <row r="80" spans="1:8" ht="34.5" customHeight="1" x14ac:dyDescent="0.25">
      <c r="A80" s="758" t="s">
        <v>273</v>
      </c>
      <c r="B80" s="757" t="s">
        <v>53</v>
      </c>
      <c r="C80" s="612" t="s">
        <v>319</v>
      </c>
      <c r="D80" s="651" t="s">
        <v>44</v>
      </c>
      <c r="E80" s="651">
        <v>2</v>
      </c>
      <c r="F80" s="629"/>
      <c r="G80" s="657">
        <f>Luong!H12+Luong!H13+Luong!H14</f>
        <v>882360</v>
      </c>
      <c r="H80" s="657">
        <f>ROUND(E80*G80,0)</f>
        <v>1764720</v>
      </c>
    </row>
    <row r="81" spans="1:8" ht="16.5" x14ac:dyDescent="0.25">
      <c r="A81" s="758"/>
      <c r="B81" s="757"/>
      <c r="C81" s="613" t="s">
        <v>18</v>
      </c>
      <c r="D81" s="614"/>
      <c r="E81" s="614"/>
      <c r="F81" s="615"/>
      <c r="G81" s="664"/>
      <c r="H81" s="665">
        <f>SUM(H82:H84)</f>
        <v>58000</v>
      </c>
    </row>
    <row r="82" spans="1:8" ht="16.5" x14ac:dyDescent="0.25">
      <c r="A82" s="758"/>
      <c r="B82" s="757"/>
      <c r="C82" s="616" t="s">
        <v>7</v>
      </c>
      <c r="D82" s="614" t="s">
        <v>20</v>
      </c>
      <c r="E82" s="614">
        <v>0.2</v>
      </c>
      <c r="F82" s="615"/>
      <c r="G82" s="623">
        <v>81818</v>
      </c>
      <c r="H82" s="659">
        <f>ROUND(E82*G82,0)</f>
        <v>16364</v>
      </c>
    </row>
    <row r="83" spans="1:8" ht="16.5" x14ac:dyDescent="0.25">
      <c r="A83" s="758"/>
      <c r="B83" s="757"/>
      <c r="C83" s="615" t="s">
        <v>8</v>
      </c>
      <c r="D83" s="652" t="s">
        <v>21</v>
      </c>
      <c r="E83" s="614">
        <v>0.06</v>
      </c>
      <c r="F83" s="615"/>
      <c r="G83" s="623">
        <v>681818</v>
      </c>
      <c r="H83" s="659">
        <f>ROUND(E83*G83,0)</f>
        <v>40909</v>
      </c>
    </row>
    <row r="84" spans="1:8" ht="18" customHeight="1" x14ac:dyDescent="0.25">
      <c r="A84" s="758"/>
      <c r="B84" s="757"/>
      <c r="C84" s="633" t="s">
        <v>19</v>
      </c>
      <c r="D84" s="653" t="s">
        <v>21</v>
      </c>
      <c r="E84" s="625">
        <v>0.08</v>
      </c>
      <c r="F84" s="624"/>
      <c r="G84" s="623">
        <v>9091</v>
      </c>
      <c r="H84" s="662">
        <f>ROUND(E84*G84,0)</f>
        <v>727</v>
      </c>
    </row>
    <row r="85" spans="1:8" ht="33" x14ac:dyDescent="0.25">
      <c r="A85" s="758">
        <v>7</v>
      </c>
      <c r="B85" s="757" t="s">
        <v>274</v>
      </c>
      <c r="C85" s="612" t="s">
        <v>317</v>
      </c>
      <c r="D85" s="651" t="s">
        <v>44</v>
      </c>
      <c r="E85" s="651">
        <v>4</v>
      </c>
      <c r="F85" s="629"/>
      <c r="G85" s="657">
        <f>Luong!H11+Luong!H13+Luong!H14</f>
        <v>854145</v>
      </c>
      <c r="H85" s="657">
        <f>ROUND(E85*G85,0)</f>
        <v>3416580</v>
      </c>
    </row>
    <row r="86" spans="1:8" ht="18" customHeight="1" x14ac:dyDescent="0.25">
      <c r="A86" s="758"/>
      <c r="B86" s="757"/>
      <c r="C86" s="613" t="s">
        <v>18</v>
      </c>
      <c r="D86" s="614"/>
      <c r="E86" s="614"/>
      <c r="F86" s="615"/>
      <c r="G86" s="664"/>
      <c r="H86" s="665">
        <f>SUM(H87:H89)</f>
        <v>47727</v>
      </c>
    </row>
    <row r="87" spans="1:8" ht="18" customHeight="1" x14ac:dyDescent="0.25">
      <c r="A87" s="758"/>
      <c r="B87" s="757"/>
      <c r="C87" s="616" t="s">
        <v>7</v>
      </c>
      <c r="D87" s="614" t="s">
        <v>20</v>
      </c>
      <c r="E87" s="614">
        <v>0.16</v>
      </c>
      <c r="F87" s="615"/>
      <c r="G87" s="623">
        <v>81818</v>
      </c>
      <c r="H87" s="659">
        <f>ROUND(E87*G87,0)</f>
        <v>13091</v>
      </c>
    </row>
    <row r="88" spans="1:8" ht="18" customHeight="1" x14ac:dyDescent="0.25">
      <c r="A88" s="758"/>
      <c r="B88" s="757"/>
      <c r="C88" s="615" t="s">
        <v>8</v>
      </c>
      <c r="D88" s="652" t="s">
        <v>21</v>
      </c>
      <c r="E88" s="614">
        <v>0.05</v>
      </c>
      <c r="F88" s="615"/>
      <c r="G88" s="623">
        <v>681818</v>
      </c>
      <c r="H88" s="659">
        <f>ROUND(E88*G88,0)</f>
        <v>34091</v>
      </c>
    </row>
    <row r="89" spans="1:8" ht="18" customHeight="1" x14ac:dyDescent="0.25">
      <c r="A89" s="758"/>
      <c r="B89" s="757"/>
      <c r="C89" s="633" t="s">
        <v>19</v>
      </c>
      <c r="D89" s="653" t="s">
        <v>21</v>
      </c>
      <c r="E89" s="625">
        <v>0.06</v>
      </c>
      <c r="F89" s="624"/>
      <c r="G89" s="626">
        <v>9091</v>
      </c>
      <c r="H89" s="662">
        <f>ROUND(E89*G89,0)</f>
        <v>545</v>
      </c>
    </row>
    <row r="90" spans="1:8" ht="33" x14ac:dyDescent="0.25">
      <c r="A90" s="748">
        <v>8</v>
      </c>
      <c r="B90" s="751" t="s">
        <v>67</v>
      </c>
      <c r="C90" s="612" t="s">
        <v>320</v>
      </c>
      <c r="D90" s="651" t="s">
        <v>44</v>
      </c>
      <c r="E90" s="651">
        <v>4</v>
      </c>
      <c r="F90" s="629"/>
      <c r="G90" s="657">
        <f>Luong!H11+Luong!H13+Luong!H12+Luong!H14</f>
        <v>1138860</v>
      </c>
      <c r="H90" s="657">
        <f>ROUND(E90*G90,0)</f>
        <v>4555440</v>
      </c>
    </row>
    <row r="91" spans="1:8" ht="22.15" customHeight="1" x14ac:dyDescent="0.25">
      <c r="A91" s="749"/>
      <c r="B91" s="752"/>
      <c r="C91" s="613" t="s">
        <v>18</v>
      </c>
      <c r="D91" s="614"/>
      <c r="E91" s="614"/>
      <c r="F91" s="615"/>
      <c r="G91" s="664"/>
      <c r="H91" s="665">
        <f>SUM(H92:H94)</f>
        <v>56545</v>
      </c>
    </row>
    <row r="92" spans="1:8" ht="22.15" customHeight="1" x14ac:dyDescent="0.25">
      <c r="A92" s="749"/>
      <c r="B92" s="752"/>
      <c r="C92" s="616" t="s">
        <v>7</v>
      </c>
      <c r="D92" s="614" t="s">
        <v>20</v>
      </c>
      <c r="E92" s="614">
        <v>0.18</v>
      </c>
      <c r="F92" s="615"/>
      <c r="G92" s="623">
        <v>81818</v>
      </c>
      <c r="H92" s="659">
        <f>ROUND(E92*G92,0)</f>
        <v>14727</v>
      </c>
    </row>
    <row r="93" spans="1:8" ht="22.15" customHeight="1" x14ac:dyDescent="0.25">
      <c r="A93" s="749"/>
      <c r="B93" s="752"/>
      <c r="C93" s="615" t="s">
        <v>8</v>
      </c>
      <c r="D93" s="652" t="s">
        <v>21</v>
      </c>
      <c r="E93" s="614">
        <v>0.06</v>
      </c>
      <c r="F93" s="615"/>
      <c r="G93" s="623">
        <v>681818</v>
      </c>
      <c r="H93" s="659">
        <f>ROUND(E93*G93,0)</f>
        <v>40909</v>
      </c>
    </row>
    <row r="94" spans="1:8" ht="22.15" customHeight="1" x14ac:dyDescent="0.25">
      <c r="A94" s="750"/>
      <c r="B94" s="753"/>
      <c r="C94" s="633" t="s">
        <v>19</v>
      </c>
      <c r="D94" s="653" t="s">
        <v>21</v>
      </c>
      <c r="E94" s="634">
        <v>0.1</v>
      </c>
      <c r="F94" s="624"/>
      <c r="G94" s="623">
        <v>9091</v>
      </c>
      <c r="H94" s="662">
        <f>ROUND(E94*G94,0)</f>
        <v>909</v>
      </c>
    </row>
    <row r="95" spans="1:8" ht="33" x14ac:dyDescent="0.25">
      <c r="A95" s="748">
        <v>9</v>
      </c>
      <c r="B95" s="751" t="s">
        <v>133</v>
      </c>
      <c r="C95" s="612" t="s">
        <v>321</v>
      </c>
      <c r="D95" s="651" t="s">
        <v>44</v>
      </c>
      <c r="E95" s="651"/>
      <c r="F95" s="424">
        <v>1</v>
      </c>
      <c r="G95" s="657">
        <f>Luong!H13+Luong!H14</f>
        <v>597645</v>
      </c>
      <c r="H95" s="657">
        <f>ROUND(F95*G95,0)</f>
        <v>597645</v>
      </c>
    </row>
    <row r="96" spans="1:8" ht="22.15" customHeight="1" x14ac:dyDescent="0.25">
      <c r="A96" s="749"/>
      <c r="B96" s="752"/>
      <c r="C96" s="613" t="s">
        <v>312</v>
      </c>
      <c r="D96" s="614"/>
      <c r="E96" s="348"/>
      <c r="F96" s="615"/>
      <c r="G96" s="659"/>
      <c r="H96" s="659"/>
    </row>
    <row r="97" spans="1:8" ht="25.15" customHeight="1" x14ac:dyDescent="0.25">
      <c r="A97" s="749"/>
      <c r="B97" s="752"/>
      <c r="C97" s="601" t="s">
        <v>154</v>
      </c>
      <c r="D97" s="614" t="s">
        <v>14</v>
      </c>
      <c r="E97" s="616"/>
      <c r="F97" s="614">
        <v>0</v>
      </c>
      <c r="G97" s="659">
        <v>22610</v>
      </c>
      <c r="H97" s="659">
        <f t="shared" ref="H97:H104" si="1">ROUND(F97*G97,0)</f>
        <v>0</v>
      </c>
    </row>
    <row r="98" spans="1:8" ht="25.15" customHeight="1" x14ac:dyDescent="0.25">
      <c r="A98" s="749"/>
      <c r="B98" s="752"/>
      <c r="C98" s="601" t="s">
        <v>155</v>
      </c>
      <c r="D98" s="614" t="s">
        <v>14</v>
      </c>
      <c r="E98" s="616"/>
      <c r="F98" s="614">
        <v>2</v>
      </c>
      <c r="G98" s="659">
        <v>22610</v>
      </c>
      <c r="H98" s="659">
        <f>ROUND(F98*G98,0)</f>
        <v>45220</v>
      </c>
    </row>
    <row r="99" spans="1:8" ht="25.15" customHeight="1" x14ac:dyDescent="0.25">
      <c r="A99" s="749"/>
      <c r="B99" s="752"/>
      <c r="C99" s="601" t="s">
        <v>156</v>
      </c>
      <c r="D99" s="614" t="s">
        <v>14</v>
      </c>
      <c r="E99" s="616"/>
      <c r="F99" s="614">
        <v>3</v>
      </c>
      <c r="G99" s="659">
        <v>22610</v>
      </c>
      <c r="H99" s="659">
        <f t="shared" si="1"/>
        <v>67830</v>
      </c>
    </row>
    <row r="100" spans="1:8" ht="33" x14ac:dyDescent="0.25">
      <c r="A100" s="749"/>
      <c r="B100" s="752"/>
      <c r="C100" s="601" t="s">
        <v>267</v>
      </c>
      <c r="D100" s="614" t="s">
        <v>14</v>
      </c>
      <c r="E100" s="616"/>
      <c r="F100" s="614">
        <v>4</v>
      </c>
      <c r="G100" s="659">
        <v>22610</v>
      </c>
      <c r="H100" s="659">
        <f t="shared" si="1"/>
        <v>90440</v>
      </c>
    </row>
    <row r="101" spans="1:8" ht="25.15" customHeight="1" x14ac:dyDescent="0.25">
      <c r="A101" s="749"/>
      <c r="B101" s="752"/>
      <c r="C101" s="601" t="s">
        <v>164</v>
      </c>
      <c r="D101" s="614" t="s">
        <v>14</v>
      </c>
      <c r="E101" s="616"/>
      <c r="F101" s="614">
        <v>5</v>
      </c>
      <c r="G101" s="659">
        <v>22610</v>
      </c>
      <c r="H101" s="659">
        <f t="shared" si="1"/>
        <v>113050</v>
      </c>
    </row>
    <row r="102" spans="1:8" ht="25.15" customHeight="1" x14ac:dyDescent="0.25">
      <c r="A102" s="749"/>
      <c r="B102" s="752"/>
      <c r="C102" s="601" t="s">
        <v>160</v>
      </c>
      <c r="D102" s="614" t="s">
        <v>14</v>
      </c>
      <c r="E102" s="616"/>
      <c r="F102" s="614">
        <v>6</v>
      </c>
      <c r="G102" s="659">
        <v>22610</v>
      </c>
      <c r="H102" s="659">
        <f t="shared" si="1"/>
        <v>135660</v>
      </c>
    </row>
    <row r="103" spans="1:8" ht="25.15" customHeight="1" x14ac:dyDescent="0.25">
      <c r="A103" s="749"/>
      <c r="B103" s="752"/>
      <c r="C103" s="601" t="s">
        <v>163</v>
      </c>
      <c r="D103" s="614" t="s">
        <v>14</v>
      </c>
      <c r="E103" s="616"/>
      <c r="F103" s="614">
        <v>7</v>
      </c>
      <c r="G103" s="659">
        <v>22610</v>
      </c>
      <c r="H103" s="659">
        <f t="shared" si="1"/>
        <v>158270</v>
      </c>
    </row>
    <row r="104" spans="1:8" ht="25.15" customHeight="1" x14ac:dyDescent="0.25">
      <c r="A104" s="749"/>
      <c r="B104" s="752"/>
      <c r="C104" s="601" t="s">
        <v>162</v>
      </c>
      <c r="D104" s="614" t="s">
        <v>14</v>
      </c>
      <c r="E104" s="616"/>
      <c r="F104" s="614">
        <v>8</v>
      </c>
      <c r="G104" s="659">
        <v>22610</v>
      </c>
      <c r="H104" s="659">
        <f t="shared" si="1"/>
        <v>180880</v>
      </c>
    </row>
    <row r="105" spans="1:8" ht="25.15" customHeight="1" x14ac:dyDescent="0.25">
      <c r="A105" s="749"/>
      <c r="B105" s="752"/>
      <c r="C105" s="617" t="s">
        <v>15</v>
      </c>
      <c r="D105" s="614"/>
      <c r="E105" s="614"/>
      <c r="F105" s="652"/>
      <c r="G105" s="598"/>
      <c r="H105" s="598"/>
    </row>
    <row r="106" spans="1:8" ht="49.5" x14ac:dyDescent="0.25">
      <c r="A106" s="749"/>
      <c r="B106" s="752"/>
      <c r="C106" s="601" t="s">
        <v>255</v>
      </c>
      <c r="D106" s="614" t="s">
        <v>298</v>
      </c>
      <c r="E106" s="619"/>
      <c r="F106" s="618">
        <v>1</v>
      </c>
      <c r="G106" s="660">
        <v>200000</v>
      </c>
      <c r="H106" s="660">
        <f>F106*G106</f>
        <v>200000</v>
      </c>
    </row>
    <row r="107" spans="1:8" ht="33" x14ac:dyDescent="0.25">
      <c r="A107" s="750"/>
      <c r="B107" s="753"/>
      <c r="C107" s="637" t="s">
        <v>256</v>
      </c>
      <c r="D107" s="625" t="s">
        <v>298</v>
      </c>
      <c r="E107" s="622"/>
      <c r="F107" s="621">
        <v>1</v>
      </c>
      <c r="G107" s="661">
        <v>160000</v>
      </c>
      <c r="H107" s="661">
        <f>F107*G107</f>
        <v>160000</v>
      </c>
    </row>
    <row r="108" spans="1:8" ht="33" x14ac:dyDescent="0.25">
      <c r="A108" s="758">
        <v>10</v>
      </c>
      <c r="B108" s="757" t="s">
        <v>275</v>
      </c>
      <c r="C108" s="612" t="s">
        <v>322</v>
      </c>
      <c r="D108" s="651" t="s">
        <v>44</v>
      </c>
      <c r="E108" s="651">
        <v>2</v>
      </c>
      <c r="F108" s="629"/>
      <c r="G108" s="657">
        <f>Luong!H12+Luong!H13</f>
        <v>569430</v>
      </c>
      <c r="H108" s="657">
        <f>ROUND(E108*G108,0)</f>
        <v>1138860</v>
      </c>
    </row>
    <row r="109" spans="1:8" ht="25.15" customHeight="1" x14ac:dyDescent="0.25">
      <c r="A109" s="758"/>
      <c r="B109" s="757"/>
      <c r="C109" s="613" t="s">
        <v>18</v>
      </c>
      <c r="D109" s="614"/>
      <c r="E109" s="614"/>
      <c r="F109" s="615"/>
      <c r="G109" s="658"/>
      <c r="H109" s="658">
        <f>SUM(H110:H111)</f>
        <v>28637</v>
      </c>
    </row>
    <row r="110" spans="1:8" ht="25.15" customHeight="1" x14ac:dyDescent="0.25">
      <c r="A110" s="758"/>
      <c r="B110" s="757"/>
      <c r="C110" s="616" t="s">
        <v>7</v>
      </c>
      <c r="D110" s="614" t="s">
        <v>20</v>
      </c>
      <c r="E110" s="614">
        <v>0.1</v>
      </c>
      <c r="F110" s="615"/>
      <c r="G110" s="623">
        <v>81818</v>
      </c>
      <c r="H110" s="659">
        <f>ROUND(E110*G110,0)</f>
        <v>8182</v>
      </c>
    </row>
    <row r="111" spans="1:8" ht="25.15" customHeight="1" x14ac:dyDescent="0.25">
      <c r="A111" s="758"/>
      <c r="B111" s="757"/>
      <c r="C111" s="624" t="s">
        <v>8</v>
      </c>
      <c r="D111" s="653" t="s">
        <v>21</v>
      </c>
      <c r="E111" s="625">
        <v>0.03</v>
      </c>
      <c r="F111" s="624"/>
      <c r="G111" s="623">
        <v>681818</v>
      </c>
      <c r="H111" s="662">
        <f>ROUND(E111*G111,0)</f>
        <v>20455</v>
      </c>
    </row>
    <row r="112" spans="1:8" ht="32.25" customHeight="1" x14ac:dyDescent="0.25">
      <c r="A112" s="758">
        <v>11</v>
      </c>
      <c r="B112" s="757" t="s">
        <v>276</v>
      </c>
      <c r="C112" s="612" t="s">
        <v>317</v>
      </c>
      <c r="D112" s="651" t="s">
        <v>44</v>
      </c>
      <c r="E112" s="651">
        <v>2</v>
      </c>
      <c r="F112" s="629"/>
      <c r="G112" s="657">
        <f>Luong!H11+Luong!H13+Luong!H14</f>
        <v>854145</v>
      </c>
      <c r="H112" s="657">
        <f>ROUND(E112*G112,0)</f>
        <v>1708290</v>
      </c>
    </row>
    <row r="113" spans="1:8" ht="22.15" customHeight="1" x14ac:dyDescent="0.25">
      <c r="A113" s="758"/>
      <c r="B113" s="757"/>
      <c r="C113" s="613" t="s">
        <v>18</v>
      </c>
      <c r="D113" s="614"/>
      <c r="E113" s="614"/>
      <c r="F113" s="615"/>
      <c r="G113" s="658"/>
      <c r="H113" s="658">
        <f>SUM(H114:H115)</f>
        <v>51000</v>
      </c>
    </row>
    <row r="114" spans="1:8" ht="22.15" customHeight="1" x14ac:dyDescent="0.25">
      <c r="A114" s="758"/>
      <c r="B114" s="757"/>
      <c r="C114" s="616" t="s">
        <v>7</v>
      </c>
      <c r="D114" s="614" t="s">
        <v>20</v>
      </c>
      <c r="E114" s="614">
        <v>0.15</v>
      </c>
      <c r="F114" s="615"/>
      <c r="G114" s="623">
        <v>90000</v>
      </c>
      <c r="H114" s="659">
        <f>ROUND(E114*G114,0)</f>
        <v>13500</v>
      </c>
    </row>
    <row r="115" spans="1:8" ht="22.15" customHeight="1" x14ac:dyDescent="0.25">
      <c r="A115" s="758"/>
      <c r="B115" s="757"/>
      <c r="C115" s="624" t="s">
        <v>8</v>
      </c>
      <c r="D115" s="653" t="s">
        <v>21</v>
      </c>
      <c r="E115" s="625">
        <v>0.05</v>
      </c>
      <c r="F115" s="624"/>
      <c r="G115" s="626">
        <v>750000</v>
      </c>
      <c r="H115" s="662">
        <f>ROUND(E115*G115,0)</f>
        <v>37500</v>
      </c>
    </row>
    <row r="116" spans="1:8" ht="33" x14ac:dyDescent="0.25">
      <c r="A116" s="758">
        <v>12</v>
      </c>
      <c r="B116" s="757" t="s">
        <v>74</v>
      </c>
      <c r="C116" s="612" t="s">
        <v>323</v>
      </c>
      <c r="D116" s="651" t="s">
        <v>44</v>
      </c>
      <c r="E116" s="651">
        <v>2</v>
      </c>
      <c r="F116" s="629"/>
      <c r="G116" s="657">
        <f>Luong!H13+Luong!H14</f>
        <v>597645</v>
      </c>
      <c r="H116" s="657">
        <f>ROUND(E116*G116,0)</f>
        <v>1195290</v>
      </c>
    </row>
    <row r="117" spans="1:8" ht="22.15" customHeight="1" x14ac:dyDescent="0.25">
      <c r="A117" s="758"/>
      <c r="B117" s="757"/>
      <c r="C117" s="613" t="s">
        <v>18</v>
      </c>
      <c r="D117" s="614"/>
      <c r="E117" s="614"/>
      <c r="F117" s="615"/>
      <c r="G117" s="658"/>
      <c r="H117" s="658">
        <f>SUM(H118:H119)</f>
        <v>27000</v>
      </c>
    </row>
    <row r="118" spans="1:8" ht="22.15" customHeight="1" x14ac:dyDescent="0.25">
      <c r="A118" s="758"/>
      <c r="B118" s="757"/>
      <c r="C118" s="616" t="s">
        <v>7</v>
      </c>
      <c r="D118" s="614" t="s">
        <v>20</v>
      </c>
      <c r="E118" s="614">
        <v>0.08</v>
      </c>
      <c r="F118" s="615"/>
      <c r="G118" s="623">
        <v>81818</v>
      </c>
      <c r="H118" s="659">
        <f>ROUND(E118*G118,0)</f>
        <v>6545</v>
      </c>
    </row>
    <row r="119" spans="1:8" ht="22.15" customHeight="1" x14ac:dyDescent="0.25">
      <c r="A119" s="758"/>
      <c r="B119" s="757"/>
      <c r="C119" s="624" t="s">
        <v>8</v>
      </c>
      <c r="D119" s="653" t="s">
        <v>21</v>
      </c>
      <c r="E119" s="625">
        <v>0.03</v>
      </c>
      <c r="F119" s="624"/>
      <c r="G119" s="623">
        <v>681818</v>
      </c>
      <c r="H119" s="662">
        <f>ROUND(E119*G119,0)</f>
        <v>20455</v>
      </c>
    </row>
    <row r="120" spans="1:8" ht="22.15" customHeight="1" x14ac:dyDescent="0.25">
      <c r="A120" s="638" t="s">
        <v>266</v>
      </c>
      <c r="B120" s="645" t="s">
        <v>203</v>
      </c>
      <c r="C120" s="630"/>
      <c r="D120" s="648"/>
      <c r="E120" s="656"/>
      <c r="F120" s="631"/>
      <c r="G120" s="365"/>
      <c r="H120" s="365"/>
    </row>
    <row r="121" spans="1:8" ht="25.5" customHeight="1" x14ac:dyDescent="0.25">
      <c r="A121" s="650">
        <v>13</v>
      </c>
      <c r="B121" s="649" t="s">
        <v>72</v>
      </c>
      <c r="C121" s="630"/>
      <c r="D121" s="630"/>
      <c r="E121" s="650"/>
      <c r="F121" s="630"/>
      <c r="G121" s="365"/>
      <c r="H121" s="365"/>
    </row>
    <row r="122" spans="1:8" ht="33" x14ac:dyDescent="0.25">
      <c r="A122" s="748" t="s">
        <v>277</v>
      </c>
      <c r="B122" s="751" t="s">
        <v>214</v>
      </c>
      <c r="C122" s="612" t="s">
        <v>316</v>
      </c>
      <c r="D122" s="424" t="s">
        <v>44</v>
      </c>
      <c r="E122" s="651">
        <v>5</v>
      </c>
      <c r="F122" s="629"/>
      <c r="G122" s="657">
        <f>Luong!H11+Luong!H13</f>
        <v>541215</v>
      </c>
      <c r="H122" s="657">
        <f>ROUND(E122*G122,0)</f>
        <v>2706075</v>
      </c>
    </row>
    <row r="123" spans="1:8" ht="19.5" customHeight="1" x14ac:dyDescent="0.25">
      <c r="A123" s="749"/>
      <c r="B123" s="752"/>
      <c r="C123" s="613" t="s">
        <v>18</v>
      </c>
      <c r="D123" s="614"/>
      <c r="E123" s="614"/>
      <c r="F123" s="615"/>
      <c r="G123" s="664"/>
      <c r="H123" s="665">
        <f>SUM(H124:H126)</f>
        <v>65909</v>
      </c>
    </row>
    <row r="124" spans="1:8" ht="20.100000000000001" customHeight="1" x14ac:dyDescent="0.25">
      <c r="A124" s="749"/>
      <c r="B124" s="752"/>
      <c r="C124" s="616" t="s">
        <v>7</v>
      </c>
      <c r="D124" s="614" t="s">
        <v>20</v>
      </c>
      <c r="E124" s="618">
        <v>0.2</v>
      </c>
      <c r="F124" s="615"/>
      <c r="G124" s="623">
        <v>81818</v>
      </c>
      <c r="H124" s="659">
        <f>ROUND(E124*G124,0)</f>
        <v>16364</v>
      </c>
    </row>
    <row r="125" spans="1:8" ht="20.100000000000001" customHeight="1" x14ac:dyDescent="0.25">
      <c r="A125" s="749"/>
      <c r="B125" s="752"/>
      <c r="C125" s="615" t="s">
        <v>8</v>
      </c>
      <c r="D125" s="652" t="s">
        <v>21</v>
      </c>
      <c r="E125" s="614">
        <v>7.0000000000000007E-2</v>
      </c>
      <c r="F125" s="615"/>
      <c r="G125" s="623">
        <v>681818</v>
      </c>
      <c r="H125" s="659">
        <f>ROUND(E125*G125,0)</f>
        <v>47727</v>
      </c>
    </row>
    <row r="126" spans="1:8" ht="20.100000000000001" customHeight="1" x14ac:dyDescent="0.25">
      <c r="A126" s="750"/>
      <c r="B126" s="753"/>
      <c r="C126" s="633" t="s">
        <v>19</v>
      </c>
      <c r="D126" s="653" t="s">
        <v>21</v>
      </c>
      <c r="E126" s="625">
        <v>0.2</v>
      </c>
      <c r="F126" s="624"/>
      <c r="G126" s="626">
        <v>9091</v>
      </c>
      <c r="H126" s="662">
        <f>ROUND(E126*G126,0)</f>
        <v>1818</v>
      </c>
    </row>
    <row r="127" spans="1:8" ht="33" x14ac:dyDescent="0.25">
      <c r="A127" s="748" t="s">
        <v>278</v>
      </c>
      <c r="B127" s="754" t="s">
        <v>200</v>
      </c>
      <c r="C127" s="612" t="s">
        <v>313</v>
      </c>
      <c r="D127" s="424" t="s">
        <v>44</v>
      </c>
      <c r="E127" s="424">
        <v>1</v>
      </c>
      <c r="F127" s="629"/>
      <c r="G127" s="657">
        <f>Luong!H11+Luong!H14</f>
        <v>569430</v>
      </c>
      <c r="H127" s="657">
        <f>ROUND(E127*G127,0)</f>
        <v>569430</v>
      </c>
    </row>
    <row r="128" spans="1:8" ht="20.100000000000001" customHeight="1" x14ac:dyDescent="0.25">
      <c r="A128" s="749"/>
      <c r="B128" s="755"/>
      <c r="C128" s="613" t="s">
        <v>18</v>
      </c>
      <c r="D128" s="614"/>
      <c r="E128" s="614"/>
      <c r="F128" s="615"/>
      <c r="G128" s="658"/>
      <c r="H128" s="658">
        <f>SUM(H129:H130)</f>
        <v>17727</v>
      </c>
    </row>
    <row r="129" spans="1:8" ht="20.100000000000001" customHeight="1" x14ac:dyDescent="0.25">
      <c r="A129" s="749"/>
      <c r="B129" s="755"/>
      <c r="C129" s="616" t="s">
        <v>7</v>
      </c>
      <c r="D129" s="614" t="s">
        <v>20</v>
      </c>
      <c r="E129" s="614">
        <v>0.05</v>
      </c>
      <c r="F129" s="615"/>
      <c r="G129" s="623">
        <v>81818</v>
      </c>
      <c r="H129" s="659">
        <f>ROUND(E129*G129,0)</f>
        <v>4091</v>
      </c>
    </row>
    <row r="130" spans="1:8" ht="20.100000000000001" customHeight="1" x14ac:dyDescent="0.25">
      <c r="A130" s="750"/>
      <c r="B130" s="756"/>
      <c r="C130" s="624" t="s">
        <v>8</v>
      </c>
      <c r="D130" s="653" t="s">
        <v>21</v>
      </c>
      <c r="E130" s="625">
        <v>0.02</v>
      </c>
      <c r="F130" s="624"/>
      <c r="G130" s="623">
        <v>681818</v>
      </c>
      <c r="H130" s="662">
        <f>ROUND(E130*G130,0)</f>
        <v>13636</v>
      </c>
    </row>
    <row r="131" spans="1:8" ht="33" x14ac:dyDescent="0.25">
      <c r="A131" s="748">
        <v>14</v>
      </c>
      <c r="B131" s="754" t="s">
        <v>165</v>
      </c>
      <c r="C131" s="612" t="s">
        <v>313</v>
      </c>
      <c r="D131" s="651" t="s">
        <v>44</v>
      </c>
      <c r="E131" s="651">
        <v>1</v>
      </c>
      <c r="F131" s="629"/>
      <c r="G131" s="657">
        <f>Luong!H11+Luong!H14</f>
        <v>569430</v>
      </c>
      <c r="H131" s="657">
        <f>ROUND(E131*G131,0)</f>
        <v>569430</v>
      </c>
    </row>
    <row r="132" spans="1:8" ht="20.100000000000001" customHeight="1" x14ac:dyDescent="0.25">
      <c r="A132" s="749"/>
      <c r="B132" s="755"/>
      <c r="C132" s="613" t="s">
        <v>18</v>
      </c>
      <c r="D132" s="614"/>
      <c r="E132" s="614"/>
      <c r="F132" s="615"/>
      <c r="G132" s="658"/>
      <c r="H132" s="658">
        <f>SUM(H133:H134)</f>
        <v>17727</v>
      </c>
    </row>
    <row r="133" spans="1:8" ht="20.100000000000001" customHeight="1" x14ac:dyDescent="0.25">
      <c r="A133" s="749"/>
      <c r="B133" s="755"/>
      <c r="C133" s="616" t="s">
        <v>7</v>
      </c>
      <c r="D133" s="614" t="s">
        <v>20</v>
      </c>
      <c r="E133" s="614">
        <v>0.05</v>
      </c>
      <c r="F133" s="615"/>
      <c r="G133" s="623">
        <v>81818</v>
      </c>
      <c r="H133" s="659">
        <f>ROUND(E133*G133,0)</f>
        <v>4091</v>
      </c>
    </row>
    <row r="134" spans="1:8" ht="20.100000000000001" customHeight="1" x14ac:dyDescent="0.25">
      <c r="A134" s="750"/>
      <c r="B134" s="756"/>
      <c r="C134" s="624" t="s">
        <v>8</v>
      </c>
      <c r="D134" s="653" t="s">
        <v>21</v>
      </c>
      <c r="E134" s="625">
        <v>0.02</v>
      </c>
      <c r="F134" s="624"/>
      <c r="G134" s="623">
        <v>681818</v>
      </c>
      <c r="H134" s="662">
        <f>ROUND(E134*G134,0)</f>
        <v>13636</v>
      </c>
    </row>
    <row r="135" spans="1:8" ht="33" x14ac:dyDescent="0.25">
      <c r="A135" s="749">
        <v>15</v>
      </c>
      <c r="B135" s="754" t="s">
        <v>309</v>
      </c>
      <c r="C135" s="612" t="s">
        <v>311</v>
      </c>
      <c r="D135" s="651" t="s">
        <v>44</v>
      </c>
      <c r="E135" s="651">
        <v>4</v>
      </c>
      <c r="F135" s="629"/>
      <c r="G135" s="657">
        <f>Luong!H11+Luong!H14</f>
        <v>569430</v>
      </c>
      <c r="H135" s="657">
        <f>ROUND(E135*G135,0)</f>
        <v>2277720</v>
      </c>
    </row>
    <row r="136" spans="1:8" ht="20.100000000000001" customHeight="1" x14ac:dyDescent="0.25">
      <c r="A136" s="749"/>
      <c r="B136" s="755"/>
      <c r="C136" s="613" t="s">
        <v>18</v>
      </c>
      <c r="D136" s="614"/>
      <c r="E136" s="614"/>
      <c r="F136" s="615"/>
      <c r="G136" s="664"/>
      <c r="H136" s="665">
        <f>SUM(H137:H139)</f>
        <v>47273</v>
      </c>
    </row>
    <row r="137" spans="1:8" ht="20.100000000000001" customHeight="1" x14ac:dyDescent="0.25">
      <c r="A137" s="749"/>
      <c r="B137" s="755"/>
      <c r="C137" s="616" t="s">
        <v>7</v>
      </c>
      <c r="D137" s="614" t="s">
        <v>20</v>
      </c>
      <c r="E137" s="614">
        <v>0.15</v>
      </c>
      <c r="F137" s="615"/>
      <c r="G137" s="623">
        <v>81818</v>
      </c>
      <c r="H137" s="659">
        <f>ROUND(E137*G137,0)</f>
        <v>12273</v>
      </c>
    </row>
    <row r="138" spans="1:8" ht="20.100000000000001" customHeight="1" x14ac:dyDescent="0.25">
      <c r="A138" s="749"/>
      <c r="B138" s="755"/>
      <c r="C138" s="615" t="s">
        <v>8</v>
      </c>
      <c r="D138" s="652" t="s">
        <v>21</v>
      </c>
      <c r="E138" s="614">
        <v>0.05</v>
      </c>
      <c r="F138" s="615"/>
      <c r="G138" s="623">
        <v>681818</v>
      </c>
      <c r="H138" s="659">
        <f>ROUND(E138*G138,0)</f>
        <v>34091</v>
      </c>
    </row>
    <row r="139" spans="1:8" ht="20.100000000000001" customHeight="1" x14ac:dyDescent="0.25">
      <c r="A139" s="749"/>
      <c r="B139" s="756"/>
      <c r="C139" s="633" t="s">
        <v>19</v>
      </c>
      <c r="D139" s="653" t="s">
        <v>21</v>
      </c>
      <c r="E139" s="625">
        <v>0.1</v>
      </c>
      <c r="F139" s="624"/>
      <c r="G139" s="623">
        <v>9091</v>
      </c>
      <c r="H139" s="662">
        <f>ROUND(E139*G139,0)</f>
        <v>909</v>
      </c>
    </row>
    <row r="140" spans="1:8" ht="51.75" customHeight="1" x14ac:dyDescent="0.25">
      <c r="A140" s="650">
        <v>16</v>
      </c>
      <c r="B140" s="649" t="s">
        <v>213</v>
      </c>
      <c r="C140" s="630"/>
      <c r="D140" s="630"/>
      <c r="E140" s="650"/>
      <c r="F140" s="630"/>
      <c r="G140" s="365"/>
      <c r="H140" s="365"/>
    </row>
    <row r="141" spans="1:8" ht="33" x14ac:dyDescent="0.25">
      <c r="A141" s="748" t="s">
        <v>279</v>
      </c>
      <c r="B141" s="757" t="s">
        <v>50</v>
      </c>
      <c r="C141" s="612" t="s">
        <v>317</v>
      </c>
      <c r="D141" s="651" t="s">
        <v>44</v>
      </c>
      <c r="E141" s="651">
        <v>6</v>
      </c>
      <c r="F141" s="629"/>
      <c r="G141" s="657">
        <f>Luong!H11+Luong!H13+Luong!H14</f>
        <v>854145</v>
      </c>
      <c r="H141" s="657">
        <f>ROUND(E141*G141,0)</f>
        <v>5124870</v>
      </c>
    </row>
    <row r="142" spans="1:8" ht="22.15" customHeight="1" x14ac:dyDescent="0.25">
      <c r="A142" s="749"/>
      <c r="B142" s="757"/>
      <c r="C142" s="613" t="s">
        <v>18</v>
      </c>
      <c r="D142" s="614"/>
      <c r="E142" s="614"/>
      <c r="F142" s="615"/>
      <c r="G142" s="664"/>
      <c r="H142" s="665">
        <f>SUM(H143:H145)</f>
        <v>76818</v>
      </c>
    </row>
    <row r="143" spans="1:8" ht="22.15" customHeight="1" x14ac:dyDescent="0.25">
      <c r="A143" s="749"/>
      <c r="B143" s="757"/>
      <c r="C143" s="616" t="s">
        <v>7</v>
      </c>
      <c r="D143" s="614" t="s">
        <v>20</v>
      </c>
      <c r="E143" s="614">
        <v>0.25</v>
      </c>
      <c r="F143" s="615"/>
      <c r="G143" s="623">
        <v>81818</v>
      </c>
      <c r="H143" s="659">
        <f>ROUND(E143*G143,0)</f>
        <v>20455</v>
      </c>
    </row>
    <row r="144" spans="1:8" ht="22.15" customHeight="1" x14ac:dyDescent="0.25">
      <c r="A144" s="749"/>
      <c r="B144" s="757"/>
      <c r="C144" s="615" t="s">
        <v>8</v>
      </c>
      <c r="D144" s="652" t="s">
        <v>21</v>
      </c>
      <c r="E144" s="614">
        <v>0.08</v>
      </c>
      <c r="F144" s="615"/>
      <c r="G144" s="623">
        <v>681818</v>
      </c>
      <c r="H144" s="659">
        <f>ROUND(E144*G144,0)</f>
        <v>54545</v>
      </c>
    </row>
    <row r="145" spans="1:8" ht="22.15" customHeight="1" x14ac:dyDescent="0.25">
      <c r="A145" s="750"/>
      <c r="B145" s="757"/>
      <c r="C145" s="633" t="s">
        <v>19</v>
      </c>
      <c r="D145" s="653" t="s">
        <v>21</v>
      </c>
      <c r="E145" s="625">
        <v>0.2</v>
      </c>
      <c r="F145" s="624"/>
      <c r="G145" s="626">
        <v>9091</v>
      </c>
      <c r="H145" s="662">
        <f>ROUND(E145*G145,0)</f>
        <v>1818</v>
      </c>
    </row>
    <row r="146" spans="1:8" ht="33" x14ac:dyDescent="0.25">
      <c r="A146" s="748" t="s">
        <v>280</v>
      </c>
      <c r="B146" s="751" t="s">
        <v>51</v>
      </c>
      <c r="C146" s="612" t="s">
        <v>315</v>
      </c>
      <c r="D146" s="651" t="s">
        <v>44</v>
      </c>
      <c r="E146" s="651">
        <v>3</v>
      </c>
      <c r="F146" s="629"/>
      <c r="G146" s="657">
        <f>Luong!H11+Luong!H12+Luong!H13+Luong!H14</f>
        <v>1138860</v>
      </c>
      <c r="H146" s="657">
        <f>ROUND(E146*G146,0)</f>
        <v>3416580</v>
      </c>
    </row>
    <row r="147" spans="1:8" ht="22.15" customHeight="1" x14ac:dyDescent="0.25">
      <c r="A147" s="749"/>
      <c r="B147" s="752"/>
      <c r="C147" s="613" t="s">
        <v>18</v>
      </c>
      <c r="D147" s="614"/>
      <c r="E147" s="614"/>
      <c r="F147" s="615"/>
      <c r="G147" s="664"/>
      <c r="H147" s="665">
        <f>SUM(H148:H150)</f>
        <v>94545</v>
      </c>
    </row>
    <row r="148" spans="1:8" ht="22.15" customHeight="1" x14ac:dyDescent="0.25">
      <c r="A148" s="749"/>
      <c r="B148" s="752"/>
      <c r="C148" s="616" t="s">
        <v>7</v>
      </c>
      <c r="D148" s="614" t="s">
        <v>20</v>
      </c>
      <c r="E148" s="614">
        <v>0.3</v>
      </c>
      <c r="F148" s="615"/>
      <c r="G148" s="623">
        <v>81818</v>
      </c>
      <c r="H148" s="659">
        <f>ROUND(E148*G148,0)</f>
        <v>24545</v>
      </c>
    </row>
    <row r="149" spans="1:8" ht="22.15" customHeight="1" x14ac:dyDescent="0.25">
      <c r="A149" s="749"/>
      <c r="B149" s="752"/>
      <c r="C149" s="615" t="s">
        <v>8</v>
      </c>
      <c r="D149" s="652" t="s">
        <v>21</v>
      </c>
      <c r="E149" s="614">
        <v>0.1</v>
      </c>
      <c r="F149" s="615"/>
      <c r="G149" s="623">
        <v>681818</v>
      </c>
      <c r="H149" s="659">
        <f>ROUND(E149*G149,0)</f>
        <v>68182</v>
      </c>
    </row>
    <row r="150" spans="1:8" ht="22.15" customHeight="1" x14ac:dyDescent="0.25">
      <c r="A150" s="750"/>
      <c r="B150" s="753"/>
      <c r="C150" s="633" t="s">
        <v>19</v>
      </c>
      <c r="D150" s="653" t="s">
        <v>21</v>
      </c>
      <c r="E150" s="625">
        <v>0.2</v>
      </c>
      <c r="F150" s="624"/>
      <c r="G150" s="623">
        <v>9091</v>
      </c>
      <c r="H150" s="662">
        <f>ROUND(E150*G150,0)</f>
        <v>1818</v>
      </c>
    </row>
    <row r="151" spans="1:8" ht="33" x14ac:dyDescent="0.25">
      <c r="A151" s="748" t="s">
        <v>281</v>
      </c>
      <c r="B151" s="754" t="s">
        <v>52</v>
      </c>
      <c r="C151" s="612" t="s">
        <v>318</v>
      </c>
      <c r="D151" s="651" t="s">
        <v>44</v>
      </c>
      <c r="E151" s="651">
        <v>1</v>
      </c>
      <c r="F151" s="629"/>
      <c r="G151" s="657">
        <f>Luong!H13+Luong!H14</f>
        <v>597645</v>
      </c>
      <c r="H151" s="657">
        <f>ROUND(E151*G151,0)</f>
        <v>597645</v>
      </c>
    </row>
    <row r="152" spans="1:8" ht="22.15" customHeight="1" x14ac:dyDescent="0.25">
      <c r="A152" s="749"/>
      <c r="B152" s="755"/>
      <c r="C152" s="613" t="s">
        <v>18</v>
      </c>
      <c r="D152" s="614"/>
      <c r="E152" s="614"/>
      <c r="F152" s="615"/>
      <c r="G152" s="658"/>
      <c r="H152" s="658">
        <f>SUM(H153:H154)</f>
        <v>27000</v>
      </c>
    </row>
    <row r="153" spans="1:8" ht="22.15" customHeight="1" x14ac:dyDescent="0.25">
      <c r="A153" s="749"/>
      <c r="B153" s="755"/>
      <c r="C153" s="616" t="s">
        <v>7</v>
      </c>
      <c r="D153" s="614" t="s">
        <v>20</v>
      </c>
      <c r="E153" s="614">
        <v>0.08</v>
      </c>
      <c r="F153" s="615"/>
      <c r="G153" s="623">
        <v>81818</v>
      </c>
      <c r="H153" s="659">
        <f>ROUND(E153*G153,0)</f>
        <v>6545</v>
      </c>
    </row>
    <row r="154" spans="1:8" ht="22.15" customHeight="1" x14ac:dyDescent="0.25">
      <c r="A154" s="750"/>
      <c r="B154" s="756"/>
      <c r="C154" s="624" t="s">
        <v>8</v>
      </c>
      <c r="D154" s="653" t="s">
        <v>21</v>
      </c>
      <c r="E154" s="625">
        <v>0.03</v>
      </c>
      <c r="F154" s="624"/>
      <c r="G154" s="623">
        <v>681818</v>
      </c>
      <c r="H154" s="662">
        <f>ROUND(E154*G154,0)</f>
        <v>20455</v>
      </c>
    </row>
    <row r="155" spans="1:8" ht="33.75" customHeight="1" x14ac:dyDescent="0.25">
      <c r="A155" s="748" t="s">
        <v>282</v>
      </c>
      <c r="B155" s="757" t="s">
        <v>53</v>
      </c>
      <c r="C155" s="612" t="s">
        <v>319</v>
      </c>
      <c r="D155" s="651" t="s">
        <v>44</v>
      </c>
      <c r="E155" s="651">
        <v>2</v>
      </c>
      <c r="F155" s="629"/>
      <c r="G155" s="657">
        <f>Luong!H12+Luong!H13+Luong!H14</f>
        <v>882360</v>
      </c>
      <c r="H155" s="657">
        <f>ROUND(E155*G155,0)</f>
        <v>1764720</v>
      </c>
    </row>
    <row r="156" spans="1:8" ht="22.15" customHeight="1" x14ac:dyDescent="0.25">
      <c r="A156" s="749"/>
      <c r="B156" s="757"/>
      <c r="C156" s="613" t="s">
        <v>18</v>
      </c>
      <c r="D156" s="614"/>
      <c r="E156" s="614"/>
      <c r="F156" s="615"/>
      <c r="G156" s="664"/>
      <c r="H156" s="665">
        <f>SUM(H157:H159)</f>
        <v>58000</v>
      </c>
    </row>
    <row r="157" spans="1:8" ht="22.15" customHeight="1" x14ac:dyDescent="0.25">
      <c r="A157" s="749"/>
      <c r="B157" s="757"/>
      <c r="C157" s="616" t="s">
        <v>7</v>
      </c>
      <c r="D157" s="614" t="s">
        <v>20</v>
      </c>
      <c r="E157" s="614">
        <v>0.2</v>
      </c>
      <c r="F157" s="615"/>
      <c r="G157" s="623">
        <v>81818</v>
      </c>
      <c r="H157" s="659">
        <f>ROUND(E157*G157,0)</f>
        <v>16364</v>
      </c>
    </row>
    <row r="158" spans="1:8" ht="22.15" customHeight="1" x14ac:dyDescent="0.25">
      <c r="A158" s="749"/>
      <c r="B158" s="757"/>
      <c r="C158" s="615" t="s">
        <v>8</v>
      </c>
      <c r="D158" s="652" t="s">
        <v>21</v>
      </c>
      <c r="E158" s="614">
        <v>0.06</v>
      </c>
      <c r="F158" s="615"/>
      <c r="G158" s="623">
        <v>681818</v>
      </c>
      <c r="H158" s="659">
        <f>ROUND(E158*G158,0)</f>
        <v>40909</v>
      </c>
    </row>
    <row r="159" spans="1:8" ht="22.15" customHeight="1" x14ac:dyDescent="0.25">
      <c r="A159" s="750"/>
      <c r="B159" s="757"/>
      <c r="C159" s="633" t="s">
        <v>19</v>
      </c>
      <c r="D159" s="653" t="s">
        <v>21</v>
      </c>
      <c r="E159" s="625">
        <v>0.08</v>
      </c>
      <c r="F159" s="624"/>
      <c r="G159" s="623">
        <v>9091</v>
      </c>
      <c r="H159" s="662">
        <f>ROUND(E159*G159,0)</f>
        <v>727</v>
      </c>
    </row>
    <row r="160" spans="1:8" ht="33" x14ac:dyDescent="0.25">
      <c r="A160" s="748">
        <v>17</v>
      </c>
      <c r="B160" s="757" t="s">
        <v>274</v>
      </c>
      <c r="C160" s="612" t="s">
        <v>317</v>
      </c>
      <c r="D160" s="651" t="s">
        <v>44</v>
      </c>
      <c r="E160" s="651">
        <v>4</v>
      </c>
      <c r="F160" s="629"/>
      <c r="G160" s="657">
        <f>Luong!H11+Luong!H13+Luong!H14</f>
        <v>854145</v>
      </c>
      <c r="H160" s="657">
        <f>ROUND(E160*G160,0)</f>
        <v>3416580</v>
      </c>
    </row>
    <row r="161" spans="1:8" ht="20.100000000000001" customHeight="1" x14ac:dyDescent="0.25">
      <c r="A161" s="749"/>
      <c r="B161" s="757"/>
      <c r="C161" s="613" t="s">
        <v>18</v>
      </c>
      <c r="D161" s="614"/>
      <c r="E161" s="614"/>
      <c r="F161" s="615"/>
      <c r="G161" s="664"/>
      <c r="H161" s="665">
        <f>SUM(H162:H164)</f>
        <v>47727</v>
      </c>
    </row>
    <row r="162" spans="1:8" ht="20.100000000000001" customHeight="1" x14ac:dyDescent="0.25">
      <c r="A162" s="749"/>
      <c r="B162" s="757"/>
      <c r="C162" s="616" t="s">
        <v>7</v>
      </c>
      <c r="D162" s="614" t="s">
        <v>20</v>
      </c>
      <c r="E162" s="614">
        <v>0.16</v>
      </c>
      <c r="F162" s="615"/>
      <c r="G162" s="623">
        <v>81818</v>
      </c>
      <c r="H162" s="659">
        <f>ROUND(E162*G162,0)</f>
        <v>13091</v>
      </c>
    </row>
    <row r="163" spans="1:8" ht="20.100000000000001" customHeight="1" x14ac:dyDescent="0.25">
      <c r="A163" s="749"/>
      <c r="B163" s="757"/>
      <c r="C163" s="615" t="s">
        <v>8</v>
      </c>
      <c r="D163" s="652" t="s">
        <v>21</v>
      </c>
      <c r="E163" s="614">
        <v>0.05</v>
      </c>
      <c r="F163" s="615"/>
      <c r="G163" s="623">
        <v>681818</v>
      </c>
      <c r="H163" s="659">
        <f>ROUND(E163*G163,0)</f>
        <v>34091</v>
      </c>
    </row>
    <row r="164" spans="1:8" ht="25.5" customHeight="1" x14ac:dyDescent="0.25">
      <c r="A164" s="750"/>
      <c r="B164" s="757"/>
      <c r="C164" s="633" t="s">
        <v>19</v>
      </c>
      <c r="D164" s="653" t="s">
        <v>21</v>
      </c>
      <c r="E164" s="625">
        <v>0.06</v>
      </c>
      <c r="F164" s="624"/>
      <c r="G164" s="626">
        <v>9091</v>
      </c>
      <c r="H164" s="662">
        <f>ROUND(E164*G164,0)</f>
        <v>545</v>
      </c>
    </row>
    <row r="165" spans="1:8" ht="33" x14ac:dyDescent="0.25">
      <c r="A165" s="748">
        <v>18</v>
      </c>
      <c r="B165" s="751" t="s">
        <v>67</v>
      </c>
      <c r="C165" s="639" t="s">
        <v>320</v>
      </c>
      <c r="D165" s="651" t="s">
        <v>44</v>
      </c>
      <c r="E165" s="651">
        <v>4</v>
      </c>
      <c r="F165" s="629"/>
      <c r="G165" s="666">
        <f>Luong!H11+Luong!H12+Luong!H13+Luong!H14</f>
        <v>1138860</v>
      </c>
      <c r="H165" s="666">
        <f>ROUND(E165*G165,0)</f>
        <v>4555440</v>
      </c>
    </row>
    <row r="166" spans="1:8" ht="21.95" customHeight="1" x14ac:dyDescent="0.25">
      <c r="A166" s="749"/>
      <c r="B166" s="752"/>
      <c r="C166" s="613" t="s">
        <v>18</v>
      </c>
      <c r="D166" s="614"/>
      <c r="E166" s="614"/>
      <c r="F166" s="615"/>
      <c r="G166" s="664"/>
      <c r="H166" s="665">
        <f>SUM(H167:H169)</f>
        <v>56545</v>
      </c>
    </row>
    <row r="167" spans="1:8" ht="21.95" customHeight="1" x14ac:dyDescent="0.25">
      <c r="A167" s="749"/>
      <c r="B167" s="752"/>
      <c r="C167" s="616" t="s">
        <v>7</v>
      </c>
      <c r="D167" s="614" t="s">
        <v>20</v>
      </c>
      <c r="E167" s="614">
        <v>0.18</v>
      </c>
      <c r="F167" s="615"/>
      <c r="G167" s="623">
        <v>81818</v>
      </c>
      <c r="H167" s="659">
        <f>ROUND(E167*G167,0)</f>
        <v>14727</v>
      </c>
    </row>
    <row r="168" spans="1:8" ht="21.95" customHeight="1" x14ac:dyDescent="0.25">
      <c r="A168" s="749"/>
      <c r="B168" s="752"/>
      <c r="C168" s="615" t="s">
        <v>8</v>
      </c>
      <c r="D168" s="652" t="s">
        <v>21</v>
      </c>
      <c r="E168" s="614">
        <v>0.06</v>
      </c>
      <c r="F168" s="615"/>
      <c r="G168" s="623">
        <v>681818</v>
      </c>
      <c r="H168" s="659">
        <f>ROUND(E168*G168,0)</f>
        <v>40909</v>
      </c>
    </row>
    <row r="169" spans="1:8" ht="21.95" customHeight="1" x14ac:dyDescent="0.25">
      <c r="A169" s="750"/>
      <c r="B169" s="753"/>
      <c r="C169" s="633" t="s">
        <v>19</v>
      </c>
      <c r="D169" s="653" t="s">
        <v>21</v>
      </c>
      <c r="E169" s="634">
        <v>0.1</v>
      </c>
      <c r="F169" s="624"/>
      <c r="G169" s="623">
        <v>9091</v>
      </c>
      <c r="H169" s="662">
        <f>ROUND(E169*G169,0)</f>
        <v>909</v>
      </c>
    </row>
    <row r="170" spans="1:8" ht="33" x14ac:dyDescent="0.25">
      <c r="A170" s="749">
        <v>19</v>
      </c>
      <c r="B170" s="751" t="s">
        <v>133</v>
      </c>
      <c r="C170" s="627" t="s">
        <v>323</v>
      </c>
      <c r="D170" s="635" t="s">
        <v>44</v>
      </c>
      <c r="E170" s="635"/>
      <c r="F170" s="636">
        <v>1</v>
      </c>
      <c r="G170" s="657">
        <f>Luong!H13+Luong!H14</f>
        <v>597645</v>
      </c>
      <c r="H170" s="657">
        <f>ROUND(F170*G170,0)</f>
        <v>597645</v>
      </c>
    </row>
    <row r="171" spans="1:8" ht="21.95" customHeight="1" x14ac:dyDescent="0.25">
      <c r="A171" s="749"/>
      <c r="B171" s="752"/>
      <c r="C171" s="613" t="s">
        <v>312</v>
      </c>
      <c r="D171" s="614"/>
      <c r="E171" s="348"/>
      <c r="F171" s="615"/>
      <c r="G171" s="659"/>
      <c r="H171" s="659"/>
    </row>
    <row r="172" spans="1:8" ht="21.95" customHeight="1" x14ac:dyDescent="0.25">
      <c r="A172" s="749"/>
      <c r="B172" s="752"/>
      <c r="C172" s="601" t="s">
        <v>154</v>
      </c>
      <c r="D172" s="614" t="s">
        <v>14</v>
      </c>
      <c r="E172" s="616"/>
      <c r="F172" s="614">
        <v>0</v>
      </c>
      <c r="G172" s="659">
        <v>22610</v>
      </c>
      <c r="H172" s="659">
        <f>ROUND(F172*G172,0)</f>
        <v>0</v>
      </c>
    </row>
    <row r="173" spans="1:8" ht="21.95" customHeight="1" x14ac:dyDescent="0.25">
      <c r="A173" s="749"/>
      <c r="B173" s="752"/>
      <c r="C173" s="601" t="s">
        <v>155</v>
      </c>
      <c r="D173" s="614" t="s">
        <v>14</v>
      </c>
      <c r="E173" s="616"/>
      <c r="F173" s="614">
        <v>2</v>
      </c>
      <c r="G173" s="659">
        <v>22610</v>
      </c>
      <c r="H173" s="659">
        <f>ROUND(F173*G173,0)</f>
        <v>45220</v>
      </c>
    </row>
    <row r="174" spans="1:8" ht="21.95" customHeight="1" x14ac:dyDescent="0.25">
      <c r="A174" s="749"/>
      <c r="B174" s="752"/>
      <c r="C174" s="601" t="s">
        <v>156</v>
      </c>
      <c r="D174" s="614" t="s">
        <v>14</v>
      </c>
      <c r="E174" s="616"/>
      <c r="F174" s="614">
        <v>3</v>
      </c>
      <c r="G174" s="659">
        <v>22610</v>
      </c>
      <c r="H174" s="659">
        <f t="shared" ref="H174:H179" si="2">ROUND(F174*G174,0)</f>
        <v>67830</v>
      </c>
    </row>
    <row r="175" spans="1:8" ht="33" x14ac:dyDescent="0.25">
      <c r="A175" s="749"/>
      <c r="B175" s="752"/>
      <c r="C175" s="601" t="s">
        <v>267</v>
      </c>
      <c r="D175" s="614" t="s">
        <v>14</v>
      </c>
      <c r="E175" s="616"/>
      <c r="F175" s="614">
        <v>4</v>
      </c>
      <c r="G175" s="659">
        <v>22610</v>
      </c>
      <c r="H175" s="659">
        <f t="shared" si="2"/>
        <v>90440</v>
      </c>
    </row>
    <row r="176" spans="1:8" ht="21.95" customHeight="1" x14ac:dyDescent="0.25">
      <c r="A176" s="749"/>
      <c r="B176" s="752"/>
      <c r="C176" s="601" t="s">
        <v>164</v>
      </c>
      <c r="D176" s="614" t="s">
        <v>14</v>
      </c>
      <c r="E176" s="616"/>
      <c r="F176" s="614">
        <v>5</v>
      </c>
      <c r="G176" s="659">
        <v>22610</v>
      </c>
      <c r="H176" s="659">
        <f t="shared" si="2"/>
        <v>113050</v>
      </c>
    </row>
    <row r="177" spans="1:8" ht="21.95" customHeight="1" x14ac:dyDescent="0.25">
      <c r="A177" s="749"/>
      <c r="B177" s="752"/>
      <c r="C177" s="601" t="s">
        <v>160</v>
      </c>
      <c r="D177" s="614" t="s">
        <v>14</v>
      </c>
      <c r="E177" s="616"/>
      <c r="F177" s="614">
        <v>6</v>
      </c>
      <c r="G177" s="659">
        <v>22610</v>
      </c>
      <c r="H177" s="659">
        <f t="shared" si="2"/>
        <v>135660</v>
      </c>
    </row>
    <row r="178" spans="1:8" ht="21.95" customHeight="1" x14ac:dyDescent="0.25">
      <c r="A178" s="749"/>
      <c r="B178" s="752"/>
      <c r="C178" s="601" t="s">
        <v>163</v>
      </c>
      <c r="D178" s="614" t="s">
        <v>14</v>
      </c>
      <c r="E178" s="616"/>
      <c r="F178" s="614">
        <v>7</v>
      </c>
      <c r="G178" s="659">
        <v>22610</v>
      </c>
      <c r="H178" s="659">
        <f t="shared" si="2"/>
        <v>158270</v>
      </c>
    </row>
    <row r="179" spans="1:8" ht="21.95" customHeight="1" x14ac:dyDescent="0.25">
      <c r="A179" s="749"/>
      <c r="B179" s="752"/>
      <c r="C179" s="601" t="s">
        <v>162</v>
      </c>
      <c r="D179" s="614" t="s">
        <v>14</v>
      </c>
      <c r="E179" s="616"/>
      <c r="F179" s="614">
        <v>8</v>
      </c>
      <c r="G179" s="659">
        <v>22610</v>
      </c>
      <c r="H179" s="659">
        <f t="shared" si="2"/>
        <v>180880</v>
      </c>
    </row>
    <row r="180" spans="1:8" ht="21.95" customHeight="1" x14ac:dyDescent="0.25">
      <c r="A180" s="749"/>
      <c r="B180" s="752"/>
      <c r="C180" s="617" t="s">
        <v>15</v>
      </c>
      <c r="D180" s="614"/>
      <c r="E180" s="614"/>
      <c r="F180" s="652"/>
      <c r="G180" s="598"/>
      <c r="H180" s="598"/>
    </row>
    <row r="181" spans="1:8" ht="49.5" x14ac:dyDescent="0.25">
      <c r="A181" s="749"/>
      <c r="B181" s="752"/>
      <c r="C181" s="601" t="s">
        <v>255</v>
      </c>
      <c r="D181" s="614" t="s">
        <v>298</v>
      </c>
      <c r="E181" s="619"/>
      <c r="F181" s="618">
        <v>1</v>
      </c>
      <c r="G181" s="660">
        <v>200000</v>
      </c>
      <c r="H181" s="660">
        <f>F181*G181</f>
        <v>200000</v>
      </c>
    </row>
    <row r="182" spans="1:8" ht="33" x14ac:dyDescent="0.25">
      <c r="A182" s="750"/>
      <c r="B182" s="753"/>
      <c r="C182" s="620" t="s">
        <v>256</v>
      </c>
      <c r="D182" s="625" t="s">
        <v>298</v>
      </c>
      <c r="E182" s="622"/>
      <c r="F182" s="621">
        <v>1</v>
      </c>
      <c r="G182" s="661">
        <v>160000</v>
      </c>
      <c r="H182" s="661">
        <f>F182*G182</f>
        <v>160000</v>
      </c>
    </row>
    <row r="183" spans="1:8" ht="33.75" customHeight="1" x14ac:dyDescent="0.25">
      <c r="A183" s="758">
        <v>20</v>
      </c>
      <c r="B183" s="757" t="s">
        <v>275</v>
      </c>
      <c r="C183" s="627" t="s">
        <v>324</v>
      </c>
      <c r="D183" s="640" t="s">
        <v>44</v>
      </c>
      <c r="E183" s="640">
        <v>2</v>
      </c>
      <c r="F183" s="641"/>
      <c r="G183" s="657">
        <f>Luong!H12+Luong!H13</f>
        <v>569430</v>
      </c>
      <c r="H183" s="657">
        <f>ROUND(E183*G183,0)</f>
        <v>1138860</v>
      </c>
    </row>
    <row r="184" spans="1:8" ht="20.100000000000001" customHeight="1" x14ac:dyDescent="0.25">
      <c r="A184" s="758"/>
      <c r="B184" s="757"/>
      <c r="C184" s="613" t="s">
        <v>18</v>
      </c>
      <c r="D184" s="614"/>
      <c r="E184" s="614"/>
      <c r="F184" s="615"/>
      <c r="G184" s="658"/>
      <c r="H184" s="658">
        <f>SUM(H185:H186)</f>
        <v>28637</v>
      </c>
    </row>
    <row r="185" spans="1:8" ht="20.100000000000001" customHeight="1" x14ac:dyDescent="0.25">
      <c r="A185" s="758"/>
      <c r="B185" s="757"/>
      <c r="C185" s="616" t="s">
        <v>7</v>
      </c>
      <c r="D185" s="614" t="s">
        <v>20</v>
      </c>
      <c r="E185" s="614">
        <v>0.1</v>
      </c>
      <c r="F185" s="615"/>
      <c r="G185" s="623">
        <v>81818</v>
      </c>
      <c r="H185" s="659">
        <f>ROUND(E185*G185,0)</f>
        <v>8182</v>
      </c>
    </row>
    <row r="186" spans="1:8" ht="20.100000000000001" customHeight="1" x14ac:dyDescent="0.25">
      <c r="A186" s="758"/>
      <c r="B186" s="757"/>
      <c r="C186" s="624" t="s">
        <v>8</v>
      </c>
      <c r="D186" s="653" t="s">
        <v>21</v>
      </c>
      <c r="E186" s="625">
        <v>0.03</v>
      </c>
      <c r="F186" s="624"/>
      <c r="G186" s="623">
        <v>681818</v>
      </c>
      <c r="H186" s="662">
        <f>ROUND(E186*G186,0)</f>
        <v>20455</v>
      </c>
    </row>
    <row r="187" spans="1:8" ht="29.25" customHeight="1" x14ac:dyDescent="0.25">
      <c r="B187" s="747" t="s">
        <v>325</v>
      </c>
      <c r="C187" s="747"/>
      <c r="D187" s="747"/>
      <c r="E187" s="747"/>
      <c r="F187" s="747"/>
      <c r="G187" s="747"/>
      <c r="H187" s="747"/>
    </row>
    <row r="188" spans="1:8" ht="22.15" customHeight="1" x14ac:dyDescent="0.25">
      <c r="B188" s="642" t="s">
        <v>301</v>
      </c>
      <c r="C188" s="340"/>
      <c r="D188" s="340"/>
      <c r="E188" s="340"/>
      <c r="F188" s="340"/>
      <c r="G188" s="340"/>
      <c r="H188" s="340"/>
    </row>
    <row r="189" spans="1:8" ht="30.75" customHeight="1" x14ac:dyDescent="0.25">
      <c r="B189" s="745" t="s">
        <v>326</v>
      </c>
      <c r="C189" s="745"/>
      <c r="D189" s="745"/>
      <c r="E189" s="745"/>
      <c r="F189" s="745"/>
      <c r="G189" s="745"/>
      <c r="H189" s="745"/>
    </row>
    <row r="190" spans="1:8" ht="16.5" x14ac:dyDescent="0.25">
      <c r="B190" s="643"/>
      <c r="C190" s="340"/>
      <c r="D190" s="340"/>
      <c r="E190" s="340"/>
      <c r="F190" s="340"/>
      <c r="G190" s="340"/>
      <c r="H190" s="340"/>
    </row>
  </sheetData>
  <mergeCells count="72">
    <mergeCell ref="D3:D4"/>
    <mergeCell ref="E3:F3"/>
    <mergeCell ref="G3:G4"/>
    <mergeCell ref="H3:H4"/>
    <mergeCell ref="A24:A29"/>
    <mergeCell ref="B24:B29"/>
    <mergeCell ref="A3:A4"/>
    <mergeCell ref="B3:B4"/>
    <mergeCell ref="C3:C4"/>
    <mergeCell ref="B7:B23"/>
    <mergeCell ref="A7:A23"/>
    <mergeCell ref="B40:B43"/>
    <mergeCell ref="A30:A35"/>
    <mergeCell ref="B30:B35"/>
    <mergeCell ref="A36:A39"/>
    <mergeCell ref="B36:B39"/>
    <mergeCell ref="A40:A43"/>
    <mergeCell ref="B141:B145"/>
    <mergeCell ref="B170:B182"/>
    <mergeCell ref="A131:A134"/>
    <mergeCell ref="A155:A159"/>
    <mergeCell ref="B165:B169"/>
    <mergeCell ref="B112:B115"/>
    <mergeCell ref="B122:B126"/>
    <mergeCell ref="B127:B130"/>
    <mergeCell ref="B131:B134"/>
    <mergeCell ref="B135:B139"/>
    <mergeCell ref="A47:A51"/>
    <mergeCell ref="B47:B51"/>
    <mergeCell ref="A80:A84"/>
    <mergeCell ref="B80:B84"/>
    <mergeCell ref="A76:A79"/>
    <mergeCell ref="B76:B79"/>
    <mergeCell ref="A60:A64"/>
    <mergeCell ref="B60:B64"/>
    <mergeCell ref="B66:B70"/>
    <mergeCell ref="A52:A55"/>
    <mergeCell ref="B52:B55"/>
    <mergeCell ref="A56:A59"/>
    <mergeCell ref="B56:B59"/>
    <mergeCell ref="A183:A186"/>
    <mergeCell ref="A66:A70"/>
    <mergeCell ref="A71:A75"/>
    <mergeCell ref="B71:B75"/>
    <mergeCell ref="A90:A94"/>
    <mergeCell ref="B90:B94"/>
    <mergeCell ref="A95:A107"/>
    <mergeCell ref="B95:B107"/>
    <mergeCell ref="A85:A89"/>
    <mergeCell ref="B85:B89"/>
    <mergeCell ref="B183:B186"/>
    <mergeCell ref="A116:A119"/>
    <mergeCell ref="B116:B119"/>
    <mergeCell ref="A108:A111"/>
    <mergeCell ref="B108:B111"/>
    <mergeCell ref="A112:A115"/>
    <mergeCell ref="B189:H189"/>
    <mergeCell ref="A1:H1"/>
    <mergeCell ref="B187:H187"/>
    <mergeCell ref="A122:A126"/>
    <mergeCell ref="A127:A130"/>
    <mergeCell ref="A135:A139"/>
    <mergeCell ref="A141:A145"/>
    <mergeCell ref="A146:A150"/>
    <mergeCell ref="A160:A164"/>
    <mergeCell ref="A165:A169"/>
    <mergeCell ref="A170:A182"/>
    <mergeCell ref="B146:B150"/>
    <mergeCell ref="A151:A154"/>
    <mergeCell ref="B151:B154"/>
    <mergeCell ref="B155:B159"/>
    <mergeCell ref="B160:B164"/>
  </mergeCells>
  <printOptions horizontalCentered="1"/>
  <pageMargins left="0" right="0" top="0.25" bottom="0.35433070866141736" header="0.23" footer="0.15748031496062992"/>
  <pageSetup paperSize="9" orientation="landscape"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opLeftCell="A2" workbookViewId="0">
      <selection activeCell="H24" sqref="H24"/>
    </sheetView>
  </sheetViews>
  <sheetFormatPr defaultRowHeight="16.5" x14ac:dyDescent="0.25"/>
  <cols>
    <col min="1" max="1" width="4.5" style="94" bestFit="1" customWidth="1"/>
    <col min="2" max="2" width="15.875" style="94" customWidth="1"/>
    <col min="3" max="3" width="11.375" style="94" customWidth="1"/>
    <col min="4" max="4" width="10.5" style="94" customWidth="1"/>
    <col min="5" max="5" width="16.25" style="94" customWidth="1"/>
    <col min="6" max="6" width="22.125" style="94" customWidth="1"/>
    <col min="7" max="7" width="14" style="94" customWidth="1"/>
    <col min="8" max="8" width="16.875" style="94" customWidth="1"/>
    <col min="9" max="9" width="15.75" style="94" hidden="1" customWidth="1"/>
    <col min="10" max="10" width="13.5" style="94" customWidth="1"/>
    <col min="11" max="253" width="9" style="94"/>
    <col min="254" max="254" width="4.5" style="94" bestFit="1" customWidth="1"/>
    <col min="255" max="256" width="0" style="94" hidden="1" customWidth="1"/>
    <col min="257" max="257" width="15.875" style="94" customWidth="1"/>
    <col min="258" max="258" width="11.375" style="94" customWidth="1"/>
    <col min="259" max="259" width="10.5" style="94" customWidth="1"/>
    <col min="260" max="260" width="9" style="94" customWidth="1"/>
    <col min="261" max="261" width="16.25" style="94" customWidth="1"/>
    <col min="262" max="262" width="23.625" style="94" customWidth="1"/>
    <col min="263" max="263" width="14" style="94" customWidth="1"/>
    <col min="264" max="264" width="16.875" style="94" customWidth="1"/>
    <col min="265" max="265" width="0" style="94" hidden="1" customWidth="1"/>
    <col min="266" max="509" width="9" style="94"/>
    <col min="510" max="510" width="4.5" style="94" bestFit="1" customWidth="1"/>
    <col min="511" max="512" width="0" style="94" hidden="1" customWidth="1"/>
    <col min="513" max="513" width="15.875" style="94" customWidth="1"/>
    <col min="514" max="514" width="11.375" style="94" customWidth="1"/>
    <col min="515" max="515" width="10.5" style="94" customWidth="1"/>
    <col min="516" max="516" width="9" style="94" customWidth="1"/>
    <col min="517" max="517" width="16.25" style="94" customWidth="1"/>
    <col min="518" max="518" width="23.625" style="94" customWidth="1"/>
    <col min="519" max="519" width="14" style="94" customWidth="1"/>
    <col min="520" max="520" width="16.875" style="94" customWidth="1"/>
    <col min="521" max="521" width="0" style="94" hidden="1" customWidth="1"/>
    <col min="522" max="765" width="9" style="94"/>
    <col min="766" max="766" width="4.5" style="94" bestFit="1" customWidth="1"/>
    <col min="767" max="768" width="0" style="94" hidden="1" customWidth="1"/>
    <col min="769" max="769" width="15.875" style="94" customWidth="1"/>
    <col min="770" max="770" width="11.375" style="94" customWidth="1"/>
    <col min="771" max="771" width="10.5" style="94" customWidth="1"/>
    <col min="772" max="772" width="9" style="94" customWidth="1"/>
    <col min="773" max="773" width="16.25" style="94" customWidth="1"/>
    <col min="774" max="774" width="23.625" style="94" customWidth="1"/>
    <col min="775" max="775" width="14" style="94" customWidth="1"/>
    <col min="776" max="776" width="16.875" style="94" customWidth="1"/>
    <col min="777" max="777" width="0" style="94" hidden="1" customWidth="1"/>
    <col min="778" max="1021" width="9" style="94"/>
    <col min="1022" max="1022" width="4.5" style="94" bestFit="1" customWidth="1"/>
    <col min="1023" max="1024" width="0" style="94" hidden="1" customWidth="1"/>
    <col min="1025" max="1025" width="15.875" style="94" customWidth="1"/>
    <col min="1026" max="1026" width="11.375" style="94" customWidth="1"/>
    <col min="1027" max="1027" width="10.5" style="94" customWidth="1"/>
    <col min="1028" max="1028" width="9" style="94" customWidth="1"/>
    <col min="1029" max="1029" width="16.25" style="94" customWidth="1"/>
    <col min="1030" max="1030" width="23.625" style="94" customWidth="1"/>
    <col min="1031" max="1031" width="14" style="94" customWidth="1"/>
    <col min="1032" max="1032" width="16.875" style="94" customWidth="1"/>
    <col min="1033" max="1033" width="0" style="94" hidden="1" customWidth="1"/>
    <col min="1034" max="1277" width="9" style="94"/>
    <col min="1278" max="1278" width="4.5" style="94" bestFit="1" customWidth="1"/>
    <col min="1279" max="1280" width="0" style="94" hidden="1" customWidth="1"/>
    <col min="1281" max="1281" width="15.875" style="94" customWidth="1"/>
    <col min="1282" max="1282" width="11.375" style="94" customWidth="1"/>
    <col min="1283" max="1283" width="10.5" style="94" customWidth="1"/>
    <col min="1284" max="1284" width="9" style="94" customWidth="1"/>
    <col min="1285" max="1285" width="16.25" style="94" customWidth="1"/>
    <col min="1286" max="1286" width="23.625" style="94" customWidth="1"/>
    <col min="1287" max="1287" width="14" style="94" customWidth="1"/>
    <col min="1288" max="1288" width="16.875" style="94" customWidth="1"/>
    <col min="1289" max="1289" width="0" style="94" hidden="1" customWidth="1"/>
    <col min="1290" max="1533" width="9" style="94"/>
    <col min="1534" max="1534" width="4.5" style="94" bestFit="1" customWidth="1"/>
    <col min="1535" max="1536" width="0" style="94" hidden="1" customWidth="1"/>
    <col min="1537" max="1537" width="15.875" style="94" customWidth="1"/>
    <col min="1538" max="1538" width="11.375" style="94" customWidth="1"/>
    <col min="1539" max="1539" width="10.5" style="94" customWidth="1"/>
    <col min="1540" max="1540" width="9" style="94" customWidth="1"/>
    <col min="1541" max="1541" width="16.25" style="94" customWidth="1"/>
    <col min="1542" max="1542" width="23.625" style="94" customWidth="1"/>
    <col min="1543" max="1543" width="14" style="94" customWidth="1"/>
    <col min="1544" max="1544" width="16.875" style="94" customWidth="1"/>
    <col min="1545" max="1545" width="0" style="94" hidden="1" customWidth="1"/>
    <col min="1546" max="1789" width="9" style="94"/>
    <col min="1790" max="1790" width="4.5" style="94" bestFit="1" customWidth="1"/>
    <col min="1791" max="1792" width="0" style="94" hidden="1" customWidth="1"/>
    <col min="1793" max="1793" width="15.875" style="94" customWidth="1"/>
    <col min="1794" max="1794" width="11.375" style="94" customWidth="1"/>
    <col min="1795" max="1795" width="10.5" style="94" customWidth="1"/>
    <col min="1796" max="1796" width="9" style="94" customWidth="1"/>
    <col min="1797" max="1797" width="16.25" style="94" customWidth="1"/>
    <col min="1798" max="1798" width="23.625" style="94" customWidth="1"/>
    <col min="1799" max="1799" width="14" style="94" customWidth="1"/>
    <col min="1800" max="1800" width="16.875" style="94" customWidth="1"/>
    <col min="1801" max="1801" width="0" style="94" hidden="1" customWidth="1"/>
    <col min="1802" max="2045" width="9" style="94"/>
    <col min="2046" max="2046" width="4.5" style="94" bestFit="1" customWidth="1"/>
    <col min="2047" max="2048" width="0" style="94" hidden="1" customWidth="1"/>
    <col min="2049" max="2049" width="15.875" style="94" customWidth="1"/>
    <col min="2050" max="2050" width="11.375" style="94" customWidth="1"/>
    <col min="2051" max="2051" width="10.5" style="94" customWidth="1"/>
    <col min="2052" max="2052" width="9" style="94" customWidth="1"/>
    <col min="2053" max="2053" width="16.25" style="94" customWidth="1"/>
    <col min="2054" max="2054" width="23.625" style="94" customWidth="1"/>
    <col min="2055" max="2055" width="14" style="94" customWidth="1"/>
    <col min="2056" max="2056" width="16.875" style="94" customWidth="1"/>
    <col min="2057" max="2057" width="0" style="94" hidden="1" customWidth="1"/>
    <col min="2058" max="2301" width="9" style="94"/>
    <col min="2302" max="2302" width="4.5" style="94" bestFit="1" customWidth="1"/>
    <col min="2303" max="2304" width="0" style="94" hidden="1" customWidth="1"/>
    <col min="2305" max="2305" width="15.875" style="94" customWidth="1"/>
    <col min="2306" max="2306" width="11.375" style="94" customWidth="1"/>
    <col min="2307" max="2307" width="10.5" style="94" customWidth="1"/>
    <col min="2308" max="2308" width="9" style="94" customWidth="1"/>
    <col min="2309" max="2309" width="16.25" style="94" customWidth="1"/>
    <col min="2310" max="2310" width="23.625" style="94" customWidth="1"/>
    <col min="2311" max="2311" width="14" style="94" customWidth="1"/>
    <col min="2312" max="2312" width="16.875" style="94" customWidth="1"/>
    <col min="2313" max="2313" width="0" style="94" hidden="1" customWidth="1"/>
    <col min="2314" max="2557" width="9" style="94"/>
    <col min="2558" max="2558" width="4.5" style="94" bestFit="1" customWidth="1"/>
    <col min="2559" max="2560" width="0" style="94" hidden="1" customWidth="1"/>
    <col min="2561" max="2561" width="15.875" style="94" customWidth="1"/>
    <col min="2562" max="2562" width="11.375" style="94" customWidth="1"/>
    <col min="2563" max="2563" width="10.5" style="94" customWidth="1"/>
    <col min="2564" max="2564" width="9" style="94" customWidth="1"/>
    <col min="2565" max="2565" width="16.25" style="94" customWidth="1"/>
    <col min="2566" max="2566" width="23.625" style="94" customWidth="1"/>
    <col min="2567" max="2567" width="14" style="94" customWidth="1"/>
    <col min="2568" max="2568" width="16.875" style="94" customWidth="1"/>
    <col min="2569" max="2569" width="0" style="94" hidden="1" customWidth="1"/>
    <col min="2570" max="2813" width="9" style="94"/>
    <col min="2814" max="2814" width="4.5" style="94" bestFit="1" customWidth="1"/>
    <col min="2815" max="2816" width="0" style="94" hidden="1" customWidth="1"/>
    <col min="2817" max="2817" width="15.875" style="94" customWidth="1"/>
    <col min="2818" max="2818" width="11.375" style="94" customWidth="1"/>
    <col min="2819" max="2819" width="10.5" style="94" customWidth="1"/>
    <col min="2820" max="2820" width="9" style="94" customWidth="1"/>
    <col min="2821" max="2821" width="16.25" style="94" customWidth="1"/>
    <col min="2822" max="2822" width="23.625" style="94" customWidth="1"/>
    <col min="2823" max="2823" width="14" style="94" customWidth="1"/>
    <col min="2824" max="2824" width="16.875" style="94" customWidth="1"/>
    <col min="2825" max="2825" width="0" style="94" hidden="1" customWidth="1"/>
    <col min="2826" max="3069" width="9" style="94"/>
    <col min="3070" max="3070" width="4.5" style="94" bestFit="1" customWidth="1"/>
    <col min="3071" max="3072" width="0" style="94" hidden="1" customWidth="1"/>
    <col min="3073" max="3073" width="15.875" style="94" customWidth="1"/>
    <col min="3074" max="3074" width="11.375" style="94" customWidth="1"/>
    <col min="3075" max="3075" width="10.5" style="94" customWidth="1"/>
    <col min="3076" max="3076" width="9" style="94" customWidth="1"/>
    <col min="3077" max="3077" width="16.25" style="94" customWidth="1"/>
    <col min="3078" max="3078" width="23.625" style="94" customWidth="1"/>
    <col min="3079" max="3079" width="14" style="94" customWidth="1"/>
    <col min="3080" max="3080" width="16.875" style="94" customWidth="1"/>
    <col min="3081" max="3081" width="0" style="94" hidden="1" customWidth="1"/>
    <col min="3082" max="3325" width="9" style="94"/>
    <col min="3326" max="3326" width="4.5" style="94" bestFit="1" customWidth="1"/>
    <col min="3327" max="3328" width="0" style="94" hidden="1" customWidth="1"/>
    <col min="3329" max="3329" width="15.875" style="94" customWidth="1"/>
    <col min="3330" max="3330" width="11.375" style="94" customWidth="1"/>
    <col min="3331" max="3331" width="10.5" style="94" customWidth="1"/>
    <col min="3332" max="3332" width="9" style="94" customWidth="1"/>
    <col min="3333" max="3333" width="16.25" style="94" customWidth="1"/>
    <col min="3334" max="3334" width="23.625" style="94" customWidth="1"/>
    <col min="3335" max="3335" width="14" style="94" customWidth="1"/>
    <col min="3336" max="3336" width="16.875" style="94" customWidth="1"/>
    <col min="3337" max="3337" width="0" style="94" hidden="1" customWidth="1"/>
    <col min="3338" max="3581" width="9" style="94"/>
    <col min="3582" max="3582" width="4.5" style="94" bestFit="1" customWidth="1"/>
    <col min="3583" max="3584" width="0" style="94" hidden="1" customWidth="1"/>
    <col min="3585" max="3585" width="15.875" style="94" customWidth="1"/>
    <col min="3586" max="3586" width="11.375" style="94" customWidth="1"/>
    <col min="3587" max="3587" width="10.5" style="94" customWidth="1"/>
    <col min="3588" max="3588" width="9" style="94" customWidth="1"/>
    <col min="3589" max="3589" width="16.25" style="94" customWidth="1"/>
    <col min="3590" max="3590" width="23.625" style="94" customWidth="1"/>
    <col min="3591" max="3591" width="14" style="94" customWidth="1"/>
    <col min="3592" max="3592" width="16.875" style="94" customWidth="1"/>
    <col min="3593" max="3593" width="0" style="94" hidden="1" customWidth="1"/>
    <col min="3594" max="3837" width="9" style="94"/>
    <col min="3838" max="3838" width="4.5" style="94" bestFit="1" customWidth="1"/>
    <col min="3839" max="3840" width="0" style="94" hidden="1" customWidth="1"/>
    <col min="3841" max="3841" width="15.875" style="94" customWidth="1"/>
    <col min="3842" max="3842" width="11.375" style="94" customWidth="1"/>
    <col min="3843" max="3843" width="10.5" style="94" customWidth="1"/>
    <col min="3844" max="3844" width="9" style="94" customWidth="1"/>
    <col min="3845" max="3845" width="16.25" style="94" customWidth="1"/>
    <col min="3846" max="3846" width="23.625" style="94" customWidth="1"/>
    <col min="3847" max="3847" width="14" style="94" customWidth="1"/>
    <col min="3848" max="3848" width="16.875" style="94" customWidth="1"/>
    <col min="3849" max="3849" width="0" style="94" hidden="1" customWidth="1"/>
    <col min="3850" max="4093" width="9" style="94"/>
    <col min="4094" max="4094" width="4.5" style="94" bestFit="1" customWidth="1"/>
    <col min="4095" max="4096" width="0" style="94" hidden="1" customWidth="1"/>
    <col min="4097" max="4097" width="15.875" style="94" customWidth="1"/>
    <col min="4098" max="4098" width="11.375" style="94" customWidth="1"/>
    <col min="4099" max="4099" width="10.5" style="94" customWidth="1"/>
    <col min="4100" max="4100" width="9" style="94" customWidth="1"/>
    <col min="4101" max="4101" width="16.25" style="94" customWidth="1"/>
    <col min="4102" max="4102" width="23.625" style="94" customWidth="1"/>
    <col min="4103" max="4103" width="14" style="94" customWidth="1"/>
    <col min="4104" max="4104" width="16.875" style="94" customWidth="1"/>
    <col min="4105" max="4105" width="0" style="94" hidden="1" customWidth="1"/>
    <col min="4106" max="4349" width="9" style="94"/>
    <col min="4350" max="4350" width="4.5" style="94" bestFit="1" customWidth="1"/>
    <col min="4351" max="4352" width="0" style="94" hidden="1" customWidth="1"/>
    <col min="4353" max="4353" width="15.875" style="94" customWidth="1"/>
    <col min="4354" max="4354" width="11.375" style="94" customWidth="1"/>
    <col min="4355" max="4355" width="10.5" style="94" customWidth="1"/>
    <col min="4356" max="4356" width="9" style="94" customWidth="1"/>
    <col min="4357" max="4357" width="16.25" style="94" customWidth="1"/>
    <col min="4358" max="4358" width="23.625" style="94" customWidth="1"/>
    <col min="4359" max="4359" width="14" style="94" customWidth="1"/>
    <col min="4360" max="4360" width="16.875" style="94" customWidth="1"/>
    <col min="4361" max="4361" width="0" style="94" hidden="1" customWidth="1"/>
    <col min="4362" max="4605" width="9" style="94"/>
    <col min="4606" max="4606" width="4.5" style="94" bestFit="1" customWidth="1"/>
    <col min="4607" max="4608" width="0" style="94" hidden="1" customWidth="1"/>
    <col min="4609" max="4609" width="15.875" style="94" customWidth="1"/>
    <col min="4610" max="4610" width="11.375" style="94" customWidth="1"/>
    <col min="4611" max="4611" width="10.5" style="94" customWidth="1"/>
    <col min="4612" max="4612" width="9" style="94" customWidth="1"/>
    <col min="4613" max="4613" width="16.25" style="94" customWidth="1"/>
    <col min="4614" max="4614" width="23.625" style="94" customWidth="1"/>
    <col min="4615" max="4615" width="14" style="94" customWidth="1"/>
    <col min="4616" max="4616" width="16.875" style="94" customWidth="1"/>
    <col min="4617" max="4617" width="0" style="94" hidden="1" customWidth="1"/>
    <col min="4618" max="4861" width="9" style="94"/>
    <col min="4862" max="4862" width="4.5" style="94" bestFit="1" customWidth="1"/>
    <col min="4863" max="4864" width="0" style="94" hidden="1" customWidth="1"/>
    <col min="4865" max="4865" width="15.875" style="94" customWidth="1"/>
    <col min="4866" max="4866" width="11.375" style="94" customWidth="1"/>
    <col min="4867" max="4867" width="10.5" style="94" customWidth="1"/>
    <col min="4868" max="4868" width="9" style="94" customWidth="1"/>
    <col min="4869" max="4869" width="16.25" style="94" customWidth="1"/>
    <col min="4870" max="4870" width="23.625" style="94" customWidth="1"/>
    <col min="4871" max="4871" width="14" style="94" customWidth="1"/>
    <col min="4872" max="4872" width="16.875" style="94" customWidth="1"/>
    <col min="4873" max="4873" width="0" style="94" hidden="1" customWidth="1"/>
    <col min="4874" max="5117" width="9" style="94"/>
    <col min="5118" max="5118" width="4.5" style="94" bestFit="1" customWidth="1"/>
    <col min="5119" max="5120" width="0" style="94" hidden="1" customWidth="1"/>
    <col min="5121" max="5121" width="15.875" style="94" customWidth="1"/>
    <col min="5122" max="5122" width="11.375" style="94" customWidth="1"/>
    <col min="5123" max="5123" width="10.5" style="94" customWidth="1"/>
    <col min="5124" max="5124" width="9" style="94" customWidth="1"/>
    <col min="5125" max="5125" width="16.25" style="94" customWidth="1"/>
    <col min="5126" max="5126" width="23.625" style="94" customWidth="1"/>
    <col min="5127" max="5127" width="14" style="94" customWidth="1"/>
    <col min="5128" max="5128" width="16.875" style="94" customWidth="1"/>
    <col min="5129" max="5129" width="0" style="94" hidden="1" customWidth="1"/>
    <col min="5130" max="5373" width="9" style="94"/>
    <col min="5374" max="5374" width="4.5" style="94" bestFit="1" customWidth="1"/>
    <col min="5375" max="5376" width="0" style="94" hidden="1" customWidth="1"/>
    <col min="5377" max="5377" width="15.875" style="94" customWidth="1"/>
    <col min="5378" max="5378" width="11.375" style="94" customWidth="1"/>
    <col min="5379" max="5379" width="10.5" style="94" customWidth="1"/>
    <col min="5380" max="5380" width="9" style="94" customWidth="1"/>
    <col min="5381" max="5381" width="16.25" style="94" customWidth="1"/>
    <col min="5382" max="5382" width="23.625" style="94" customWidth="1"/>
    <col min="5383" max="5383" width="14" style="94" customWidth="1"/>
    <col min="5384" max="5384" width="16.875" style="94" customWidth="1"/>
    <col min="5385" max="5385" width="0" style="94" hidden="1" customWidth="1"/>
    <col min="5386" max="5629" width="9" style="94"/>
    <col min="5630" max="5630" width="4.5" style="94" bestFit="1" customWidth="1"/>
    <col min="5631" max="5632" width="0" style="94" hidden="1" customWidth="1"/>
    <col min="5633" max="5633" width="15.875" style="94" customWidth="1"/>
    <col min="5634" max="5634" width="11.375" style="94" customWidth="1"/>
    <col min="5635" max="5635" width="10.5" style="94" customWidth="1"/>
    <col min="5636" max="5636" width="9" style="94" customWidth="1"/>
    <col min="5637" max="5637" width="16.25" style="94" customWidth="1"/>
    <col min="5638" max="5638" width="23.625" style="94" customWidth="1"/>
    <col min="5639" max="5639" width="14" style="94" customWidth="1"/>
    <col min="5640" max="5640" width="16.875" style="94" customWidth="1"/>
    <col min="5641" max="5641" width="0" style="94" hidden="1" customWidth="1"/>
    <col min="5642" max="5885" width="9" style="94"/>
    <col min="5886" max="5886" width="4.5" style="94" bestFit="1" customWidth="1"/>
    <col min="5887" max="5888" width="0" style="94" hidden="1" customWidth="1"/>
    <col min="5889" max="5889" width="15.875" style="94" customWidth="1"/>
    <col min="5890" max="5890" width="11.375" style="94" customWidth="1"/>
    <col min="5891" max="5891" width="10.5" style="94" customWidth="1"/>
    <col min="5892" max="5892" width="9" style="94" customWidth="1"/>
    <col min="5893" max="5893" width="16.25" style="94" customWidth="1"/>
    <col min="5894" max="5894" width="23.625" style="94" customWidth="1"/>
    <col min="5895" max="5895" width="14" style="94" customWidth="1"/>
    <col min="5896" max="5896" width="16.875" style="94" customWidth="1"/>
    <col min="5897" max="5897" width="0" style="94" hidden="1" customWidth="1"/>
    <col min="5898" max="6141" width="9" style="94"/>
    <col min="6142" max="6142" width="4.5" style="94" bestFit="1" customWidth="1"/>
    <col min="6143" max="6144" width="0" style="94" hidden="1" customWidth="1"/>
    <col min="6145" max="6145" width="15.875" style="94" customWidth="1"/>
    <col min="6146" max="6146" width="11.375" style="94" customWidth="1"/>
    <col min="6147" max="6147" width="10.5" style="94" customWidth="1"/>
    <col min="6148" max="6148" width="9" style="94" customWidth="1"/>
    <col min="6149" max="6149" width="16.25" style="94" customWidth="1"/>
    <col min="6150" max="6150" width="23.625" style="94" customWidth="1"/>
    <col min="6151" max="6151" width="14" style="94" customWidth="1"/>
    <col min="6152" max="6152" width="16.875" style="94" customWidth="1"/>
    <col min="6153" max="6153" width="0" style="94" hidden="1" customWidth="1"/>
    <col min="6154" max="6397" width="9" style="94"/>
    <col min="6398" max="6398" width="4.5" style="94" bestFit="1" customWidth="1"/>
    <col min="6399" max="6400" width="0" style="94" hidden="1" customWidth="1"/>
    <col min="6401" max="6401" width="15.875" style="94" customWidth="1"/>
    <col min="6402" max="6402" width="11.375" style="94" customWidth="1"/>
    <col min="6403" max="6403" width="10.5" style="94" customWidth="1"/>
    <col min="6404" max="6404" width="9" style="94" customWidth="1"/>
    <col min="6405" max="6405" width="16.25" style="94" customWidth="1"/>
    <col min="6406" max="6406" width="23.625" style="94" customWidth="1"/>
    <col min="6407" max="6407" width="14" style="94" customWidth="1"/>
    <col min="6408" max="6408" width="16.875" style="94" customWidth="1"/>
    <col min="6409" max="6409" width="0" style="94" hidden="1" customWidth="1"/>
    <col min="6410" max="6653" width="9" style="94"/>
    <col min="6654" max="6654" width="4.5" style="94" bestFit="1" customWidth="1"/>
    <col min="6655" max="6656" width="0" style="94" hidden="1" customWidth="1"/>
    <col min="6657" max="6657" width="15.875" style="94" customWidth="1"/>
    <col min="6658" max="6658" width="11.375" style="94" customWidth="1"/>
    <col min="6659" max="6659" width="10.5" style="94" customWidth="1"/>
    <col min="6660" max="6660" width="9" style="94" customWidth="1"/>
    <col min="6661" max="6661" width="16.25" style="94" customWidth="1"/>
    <col min="6662" max="6662" width="23.625" style="94" customWidth="1"/>
    <col min="6663" max="6663" width="14" style="94" customWidth="1"/>
    <col min="6664" max="6664" width="16.875" style="94" customWidth="1"/>
    <col min="6665" max="6665" width="0" style="94" hidden="1" customWidth="1"/>
    <col min="6666" max="6909" width="9" style="94"/>
    <col min="6910" max="6910" width="4.5" style="94" bestFit="1" customWidth="1"/>
    <col min="6911" max="6912" width="0" style="94" hidden="1" customWidth="1"/>
    <col min="6913" max="6913" width="15.875" style="94" customWidth="1"/>
    <col min="6914" max="6914" width="11.375" style="94" customWidth="1"/>
    <col min="6915" max="6915" width="10.5" style="94" customWidth="1"/>
    <col min="6916" max="6916" width="9" style="94" customWidth="1"/>
    <col min="6917" max="6917" width="16.25" style="94" customWidth="1"/>
    <col min="6918" max="6918" width="23.625" style="94" customWidth="1"/>
    <col min="6919" max="6919" width="14" style="94" customWidth="1"/>
    <col min="6920" max="6920" width="16.875" style="94" customWidth="1"/>
    <col min="6921" max="6921" width="0" style="94" hidden="1" customWidth="1"/>
    <col min="6922" max="7165" width="9" style="94"/>
    <col min="7166" max="7166" width="4.5" style="94" bestFit="1" customWidth="1"/>
    <col min="7167" max="7168" width="0" style="94" hidden="1" customWidth="1"/>
    <col min="7169" max="7169" width="15.875" style="94" customWidth="1"/>
    <col min="7170" max="7170" width="11.375" style="94" customWidth="1"/>
    <col min="7171" max="7171" width="10.5" style="94" customWidth="1"/>
    <col min="7172" max="7172" width="9" style="94" customWidth="1"/>
    <col min="7173" max="7173" width="16.25" style="94" customWidth="1"/>
    <col min="7174" max="7174" width="23.625" style="94" customWidth="1"/>
    <col min="7175" max="7175" width="14" style="94" customWidth="1"/>
    <col min="7176" max="7176" width="16.875" style="94" customWidth="1"/>
    <col min="7177" max="7177" width="0" style="94" hidden="1" customWidth="1"/>
    <col min="7178" max="7421" width="9" style="94"/>
    <col min="7422" max="7422" width="4.5" style="94" bestFit="1" customWidth="1"/>
    <col min="7423" max="7424" width="0" style="94" hidden="1" customWidth="1"/>
    <col min="7425" max="7425" width="15.875" style="94" customWidth="1"/>
    <col min="7426" max="7426" width="11.375" style="94" customWidth="1"/>
    <col min="7427" max="7427" width="10.5" style="94" customWidth="1"/>
    <col min="7428" max="7428" width="9" style="94" customWidth="1"/>
    <col min="7429" max="7429" width="16.25" style="94" customWidth="1"/>
    <col min="7430" max="7430" width="23.625" style="94" customWidth="1"/>
    <col min="7431" max="7431" width="14" style="94" customWidth="1"/>
    <col min="7432" max="7432" width="16.875" style="94" customWidth="1"/>
    <col min="7433" max="7433" width="0" style="94" hidden="1" customWidth="1"/>
    <col min="7434" max="7677" width="9" style="94"/>
    <col min="7678" max="7678" width="4.5" style="94" bestFit="1" customWidth="1"/>
    <col min="7679" max="7680" width="0" style="94" hidden="1" customWidth="1"/>
    <col min="7681" max="7681" width="15.875" style="94" customWidth="1"/>
    <col min="7682" max="7682" width="11.375" style="94" customWidth="1"/>
    <col min="7683" max="7683" width="10.5" style="94" customWidth="1"/>
    <col min="7684" max="7684" width="9" style="94" customWidth="1"/>
    <col min="7685" max="7685" width="16.25" style="94" customWidth="1"/>
    <col min="7686" max="7686" width="23.625" style="94" customWidth="1"/>
    <col min="7687" max="7687" width="14" style="94" customWidth="1"/>
    <col min="7688" max="7688" width="16.875" style="94" customWidth="1"/>
    <col min="7689" max="7689" width="0" style="94" hidden="1" customWidth="1"/>
    <col min="7690" max="7933" width="9" style="94"/>
    <col min="7934" max="7934" width="4.5" style="94" bestFit="1" customWidth="1"/>
    <col min="7935" max="7936" width="0" style="94" hidden="1" customWidth="1"/>
    <col min="7937" max="7937" width="15.875" style="94" customWidth="1"/>
    <col min="7938" max="7938" width="11.375" style="94" customWidth="1"/>
    <col min="7939" max="7939" width="10.5" style="94" customWidth="1"/>
    <col min="7940" max="7940" width="9" style="94" customWidth="1"/>
    <col min="7941" max="7941" width="16.25" style="94" customWidth="1"/>
    <col min="7942" max="7942" width="23.625" style="94" customWidth="1"/>
    <col min="7943" max="7943" width="14" style="94" customWidth="1"/>
    <col min="7944" max="7944" width="16.875" style="94" customWidth="1"/>
    <col min="7945" max="7945" width="0" style="94" hidden="1" customWidth="1"/>
    <col min="7946" max="8189" width="9" style="94"/>
    <col min="8190" max="8190" width="4.5" style="94" bestFit="1" customWidth="1"/>
    <col min="8191" max="8192" width="0" style="94" hidden="1" customWidth="1"/>
    <col min="8193" max="8193" width="15.875" style="94" customWidth="1"/>
    <col min="8194" max="8194" width="11.375" style="94" customWidth="1"/>
    <col min="8195" max="8195" width="10.5" style="94" customWidth="1"/>
    <col min="8196" max="8196" width="9" style="94" customWidth="1"/>
    <col min="8197" max="8197" width="16.25" style="94" customWidth="1"/>
    <col min="8198" max="8198" width="23.625" style="94" customWidth="1"/>
    <col min="8199" max="8199" width="14" style="94" customWidth="1"/>
    <col min="8200" max="8200" width="16.875" style="94" customWidth="1"/>
    <col min="8201" max="8201" width="0" style="94" hidden="1" customWidth="1"/>
    <col min="8202" max="8445" width="9" style="94"/>
    <col min="8446" max="8446" width="4.5" style="94" bestFit="1" customWidth="1"/>
    <col min="8447" max="8448" width="0" style="94" hidden="1" customWidth="1"/>
    <col min="8449" max="8449" width="15.875" style="94" customWidth="1"/>
    <col min="8450" max="8450" width="11.375" style="94" customWidth="1"/>
    <col min="8451" max="8451" width="10.5" style="94" customWidth="1"/>
    <col min="8452" max="8452" width="9" style="94" customWidth="1"/>
    <col min="8453" max="8453" width="16.25" style="94" customWidth="1"/>
    <col min="8454" max="8454" width="23.625" style="94" customWidth="1"/>
    <col min="8455" max="8455" width="14" style="94" customWidth="1"/>
    <col min="8456" max="8456" width="16.875" style="94" customWidth="1"/>
    <col min="8457" max="8457" width="0" style="94" hidden="1" customWidth="1"/>
    <col min="8458" max="8701" width="9" style="94"/>
    <col min="8702" max="8702" width="4.5" style="94" bestFit="1" customWidth="1"/>
    <col min="8703" max="8704" width="0" style="94" hidden="1" customWidth="1"/>
    <col min="8705" max="8705" width="15.875" style="94" customWidth="1"/>
    <col min="8706" max="8706" width="11.375" style="94" customWidth="1"/>
    <col min="8707" max="8707" width="10.5" style="94" customWidth="1"/>
    <col min="8708" max="8708" width="9" style="94" customWidth="1"/>
    <col min="8709" max="8709" width="16.25" style="94" customWidth="1"/>
    <col min="8710" max="8710" width="23.625" style="94" customWidth="1"/>
    <col min="8711" max="8711" width="14" style="94" customWidth="1"/>
    <col min="8712" max="8712" width="16.875" style="94" customWidth="1"/>
    <col min="8713" max="8713" width="0" style="94" hidden="1" customWidth="1"/>
    <col min="8714" max="8957" width="9" style="94"/>
    <col min="8958" max="8958" width="4.5" style="94" bestFit="1" customWidth="1"/>
    <col min="8959" max="8960" width="0" style="94" hidden="1" customWidth="1"/>
    <col min="8961" max="8961" width="15.875" style="94" customWidth="1"/>
    <col min="8962" max="8962" width="11.375" style="94" customWidth="1"/>
    <col min="8963" max="8963" width="10.5" style="94" customWidth="1"/>
    <col min="8964" max="8964" width="9" style="94" customWidth="1"/>
    <col min="8965" max="8965" width="16.25" style="94" customWidth="1"/>
    <col min="8966" max="8966" width="23.625" style="94" customWidth="1"/>
    <col min="8967" max="8967" width="14" style="94" customWidth="1"/>
    <col min="8968" max="8968" width="16.875" style="94" customWidth="1"/>
    <col min="8969" max="8969" width="0" style="94" hidden="1" customWidth="1"/>
    <col min="8970" max="9213" width="9" style="94"/>
    <col min="9214" max="9214" width="4.5" style="94" bestFit="1" customWidth="1"/>
    <col min="9215" max="9216" width="0" style="94" hidden="1" customWidth="1"/>
    <col min="9217" max="9217" width="15.875" style="94" customWidth="1"/>
    <col min="9218" max="9218" width="11.375" style="94" customWidth="1"/>
    <col min="9219" max="9219" width="10.5" style="94" customWidth="1"/>
    <col min="9220" max="9220" width="9" style="94" customWidth="1"/>
    <col min="9221" max="9221" width="16.25" style="94" customWidth="1"/>
    <col min="9222" max="9222" width="23.625" style="94" customWidth="1"/>
    <col min="9223" max="9223" width="14" style="94" customWidth="1"/>
    <col min="9224" max="9224" width="16.875" style="94" customWidth="1"/>
    <col min="9225" max="9225" width="0" style="94" hidden="1" customWidth="1"/>
    <col min="9226" max="9469" width="9" style="94"/>
    <col min="9470" max="9470" width="4.5" style="94" bestFit="1" customWidth="1"/>
    <col min="9471" max="9472" width="0" style="94" hidden="1" customWidth="1"/>
    <col min="9473" max="9473" width="15.875" style="94" customWidth="1"/>
    <col min="9474" max="9474" width="11.375" style="94" customWidth="1"/>
    <col min="9475" max="9475" width="10.5" style="94" customWidth="1"/>
    <col min="9476" max="9476" width="9" style="94" customWidth="1"/>
    <col min="9477" max="9477" width="16.25" style="94" customWidth="1"/>
    <col min="9478" max="9478" width="23.625" style="94" customWidth="1"/>
    <col min="9479" max="9479" width="14" style="94" customWidth="1"/>
    <col min="9480" max="9480" width="16.875" style="94" customWidth="1"/>
    <col min="9481" max="9481" width="0" style="94" hidden="1" customWidth="1"/>
    <col min="9482" max="9725" width="9" style="94"/>
    <col min="9726" max="9726" width="4.5" style="94" bestFit="1" customWidth="1"/>
    <col min="9727" max="9728" width="0" style="94" hidden="1" customWidth="1"/>
    <col min="9729" max="9729" width="15.875" style="94" customWidth="1"/>
    <col min="9730" max="9730" width="11.375" style="94" customWidth="1"/>
    <col min="9731" max="9731" width="10.5" style="94" customWidth="1"/>
    <col min="9732" max="9732" width="9" style="94" customWidth="1"/>
    <col min="9733" max="9733" width="16.25" style="94" customWidth="1"/>
    <col min="9734" max="9734" width="23.625" style="94" customWidth="1"/>
    <col min="9735" max="9735" width="14" style="94" customWidth="1"/>
    <col min="9736" max="9736" width="16.875" style="94" customWidth="1"/>
    <col min="9737" max="9737" width="0" style="94" hidden="1" customWidth="1"/>
    <col min="9738" max="9981" width="9" style="94"/>
    <col min="9982" max="9982" width="4.5" style="94" bestFit="1" customWidth="1"/>
    <col min="9983" max="9984" width="0" style="94" hidden="1" customWidth="1"/>
    <col min="9985" max="9985" width="15.875" style="94" customWidth="1"/>
    <col min="9986" max="9986" width="11.375" style="94" customWidth="1"/>
    <col min="9987" max="9987" width="10.5" style="94" customWidth="1"/>
    <col min="9988" max="9988" width="9" style="94" customWidth="1"/>
    <col min="9989" max="9989" width="16.25" style="94" customWidth="1"/>
    <col min="9990" max="9990" width="23.625" style="94" customWidth="1"/>
    <col min="9991" max="9991" width="14" style="94" customWidth="1"/>
    <col min="9992" max="9992" width="16.875" style="94" customWidth="1"/>
    <col min="9993" max="9993" width="0" style="94" hidden="1" customWidth="1"/>
    <col min="9994" max="10237" width="9" style="94"/>
    <col min="10238" max="10238" width="4.5" style="94" bestFit="1" customWidth="1"/>
    <col min="10239" max="10240" width="0" style="94" hidden="1" customWidth="1"/>
    <col min="10241" max="10241" width="15.875" style="94" customWidth="1"/>
    <col min="10242" max="10242" width="11.375" style="94" customWidth="1"/>
    <col min="10243" max="10243" width="10.5" style="94" customWidth="1"/>
    <col min="10244" max="10244" width="9" style="94" customWidth="1"/>
    <col min="10245" max="10245" width="16.25" style="94" customWidth="1"/>
    <col min="10246" max="10246" width="23.625" style="94" customWidth="1"/>
    <col min="10247" max="10247" width="14" style="94" customWidth="1"/>
    <col min="10248" max="10248" width="16.875" style="94" customWidth="1"/>
    <col min="10249" max="10249" width="0" style="94" hidden="1" customWidth="1"/>
    <col min="10250" max="10493" width="9" style="94"/>
    <col min="10494" max="10494" width="4.5" style="94" bestFit="1" customWidth="1"/>
    <col min="10495" max="10496" width="0" style="94" hidden="1" customWidth="1"/>
    <col min="10497" max="10497" width="15.875" style="94" customWidth="1"/>
    <col min="10498" max="10498" width="11.375" style="94" customWidth="1"/>
    <col min="10499" max="10499" width="10.5" style="94" customWidth="1"/>
    <col min="10500" max="10500" width="9" style="94" customWidth="1"/>
    <col min="10501" max="10501" width="16.25" style="94" customWidth="1"/>
    <col min="10502" max="10502" width="23.625" style="94" customWidth="1"/>
    <col min="10503" max="10503" width="14" style="94" customWidth="1"/>
    <col min="10504" max="10504" width="16.875" style="94" customWidth="1"/>
    <col min="10505" max="10505" width="0" style="94" hidden="1" customWidth="1"/>
    <col min="10506" max="10749" width="9" style="94"/>
    <col min="10750" max="10750" width="4.5" style="94" bestFit="1" customWidth="1"/>
    <col min="10751" max="10752" width="0" style="94" hidden="1" customWidth="1"/>
    <col min="10753" max="10753" width="15.875" style="94" customWidth="1"/>
    <col min="10754" max="10754" width="11.375" style="94" customWidth="1"/>
    <col min="10755" max="10755" width="10.5" style="94" customWidth="1"/>
    <col min="10756" max="10756" width="9" style="94" customWidth="1"/>
    <col min="10757" max="10757" width="16.25" style="94" customWidth="1"/>
    <col min="10758" max="10758" width="23.625" style="94" customWidth="1"/>
    <col min="10759" max="10759" width="14" style="94" customWidth="1"/>
    <col min="10760" max="10760" width="16.875" style="94" customWidth="1"/>
    <col min="10761" max="10761" width="0" style="94" hidden="1" customWidth="1"/>
    <col min="10762" max="11005" width="9" style="94"/>
    <col min="11006" max="11006" width="4.5" style="94" bestFit="1" customWidth="1"/>
    <col min="11007" max="11008" width="0" style="94" hidden="1" customWidth="1"/>
    <col min="11009" max="11009" width="15.875" style="94" customWidth="1"/>
    <col min="11010" max="11010" width="11.375" style="94" customWidth="1"/>
    <col min="11011" max="11011" width="10.5" style="94" customWidth="1"/>
    <col min="11012" max="11012" width="9" style="94" customWidth="1"/>
    <col min="11013" max="11013" width="16.25" style="94" customWidth="1"/>
    <col min="11014" max="11014" width="23.625" style="94" customWidth="1"/>
    <col min="11015" max="11015" width="14" style="94" customWidth="1"/>
    <col min="11016" max="11016" width="16.875" style="94" customWidth="1"/>
    <col min="11017" max="11017" width="0" style="94" hidden="1" customWidth="1"/>
    <col min="11018" max="11261" width="9" style="94"/>
    <col min="11262" max="11262" width="4.5" style="94" bestFit="1" customWidth="1"/>
    <col min="11263" max="11264" width="0" style="94" hidden="1" customWidth="1"/>
    <col min="11265" max="11265" width="15.875" style="94" customWidth="1"/>
    <col min="11266" max="11266" width="11.375" style="94" customWidth="1"/>
    <col min="11267" max="11267" width="10.5" style="94" customWidth="1"/>
    <col min="11268" max="11268" width="9" style="94" customWidth="1"/>
    <col min="11269" max="11269" width="16.25" style="94" customWidth="1"/>
    <col min="11270" max="11270" width="23.625" style="94" customWidth="1"/>
    <col min="11271" max="11271" width="14" style="94" customWidth="1"/>
    <col min="11272" max="11272" width="16.875" style="94" customWidth="1"/>
    <col min="11273" max="11273" width="0" style="94" hidden="1" customWidth="1"/>
    <col min="11274" max="11517" width="9" style="94"/>
    <col min="11518" max="11518" width="4.5" style="94" bestFit="1" customWidth="1"/>
    <col min="11519" max="11520" width="0" style="94" hidden="1" customWidth="1"/>
    <col min="11521" max="11521" width="15.875" style="94" customWidth="1"/>
    <col min="11522" max="11522" width="11.375" style="94" customWidth="1"/>
    <col min="11523" max="11523" width="10.5" style="94" customWidth="1"/>
    <col min="11524" max="11524" width="9" style="94" customWidth="1"/>
    <col min="11525" max="11525" width="16.25" style="94" customWidth="1"/>
    <col min="11526" max="11526" width="23.625" style="94" customWidth="1"/>
    <col min="11527" max="11527" width="14" style="94" customWidth="1"/>
    <col min="11528" max="11528" width="16.875" style="94" customWidth="1"/>
    <col min="11529" max="11529" width="0" style="94" hidden="1" customWidth="1"/>
    <col min="11530" max="11773" width="9" style="94"/>
    <col min="11774" max="11774" width="4.5" style="94" bestFit="1" customWidth="1"/>
    <col min="11775" max="11776" width="0" style="94" hidden="1" customWidth="1"/>
    <col min="11777" max="11777" width="15.875" style="94" customWidth="1"/>
    <col min="11778" max="11778" width="11.375" style="94" customWidth="1"/>
    <col min="11779" max="11779" width="10.5" style="94" customWidth="1"/>
    <col min="11780" max="11780" width="9" style="94" customWidth="1"/>
    <col min="11781" max="11781" width="16.25" style="94" customWidth="1"/>
    <col min="11782" max="11782" width="23.625" style="94" customWidth="1"/>
    <col min="11783" max="11783" width="14" style="94" customWidth="1"/>
    <col min="11784" max="11784" width="16.875" style="94" customWidth="1"/>
    <col min="11785" max="11785" width="0" style="94" hidden="1" customWidth="1"/>
    <col min="11786" max="12029" width="9" style="94"/>
    <col min="12030" max="12030" width="4.5" style="94" bestFit="1" customWidth="1"/>
    <col min="12031" max="12032" width="0" style="94" hidden="1" customWidth="1"/>
    <col min="12033" max="12033" width="15.875" style="94" customWidth="1"/>
    <col min="12034" max="12034" width="11.375" style="94" customWidth="1"/>
    <col min="12035" max="12035" width="10.5" style="94" customWidth="1"/>
    <col min="12036" max="12036" width="9" style="94" customWidth="1"/>
    <col min="12037" max="12037" width="16.25" style="94" customWidth="1"/>
    <col min="12038" max="12038" width="23.625" style="94" customWidth="1"/>
    <col min="12039" max="12039" width="14" style="94" customWidth="1"/>
    <col min="12040" max="12040" width="16.875" style="94" customWidth="1"/>
    <col min="12041" max="12041" width="0" style="94" hidden="1" customWidth="1"/>
    <col min="12042" max="12285" width="9" style="94"/>
    <col min="12286" max="12286" width="4.5" style="94" bestFit="1" customWidth="1"/>
    <col min="12287" max="12288" width="0" style="94" hidden="1" customWidth="1"/>
    <col min="12289" max="12289" width="15.875" style="94" customWidth="1"/>
    <col min="12290" max="12290" width="11.375" style="94" customWidth="1"/>
    <col min="12291" max="12291" width="10.5" style="94" customWidth="1"/>
    <col min="12292" max="12292" width="9" style="94" customWidth="1"/>
    <col min="12293" max="12293" width="16.25" style="94" customWidth="1"/>
    <col min="12294" max="12294" width="23.625" style="94" customWidth="1"/>
    <col min="12295" max="12295" width="14" style="94" customWidth="1"/>
    <col min="12296" max="12296" width="16.875" style="94" customWidth="1"/>
    <col min="12297" max="12297" width="0" style="94" hidden="1" customWidth="1"/>
    <col min="12298" max="12541" width="9" style="94"/>
    <col min="12542" max="12542" width="4.5" style="94" bestFit="1" customWidth="1"/>
    <col min="12543" max="12544" width="0" style="94" hidden="1" customWidth="1"/>
    <col min="12545" max="12545" width="15.875" style="94" customWidth="1"/>
    <col min="12546" max="12546" width="11.375" style="94" customWidth="1"/>
    <col min="12547" max="12547" width="10.5" style="94" customWidth="1"/>
    <col min="12548" max="12548" width="9" style="94" customWidth="1"/>
    <col min="12549" max="12549" width="16.25" style="94" customWidth="1"/>
    <col min="12550" max="12550" width="23.625" style="94" customWidth="1"/>
    <col min="12551" max="12551" width="14" style="94" customWidth="1"/>
    <col min="12552" max="12552" width="16.875" style="94" customWidth="1"/>
    <col min="12553" max="12553" width="0" style="94" hidden="1" customWidth="1"/>
    <col min="12554" max="12797" width="9" style="94"/>
    <col min="12798" max="12798" width="4.5" style="94" bestFit="1" customWidth="1"/>
    <col min="12799" max="12800" width="0" style="94" hidden="1" customWidth="1"/>
    <col min="12801" max="12801" width="15.875" style="94" customWidth="1"/>
    <col min="12802" max="12802" width="11.375" style="94" customWidth="1"/>
    <col min="12803" max="12803" width="10.5" style="94" customWidth="1"/>
    <col min="12804" max="12804" width="9" style="94" customWidth="1"/>
    <col min="12805" max="12805" width="16.25" style="94" customWidth="1"/>
    <col min="12806" max="12806" width="23.625" style="94" customWidth="1"/>
    <col min="12807" max="12807" width="14" style="94" customWidth="1"/>
    <col min="12808" max="12808" width="16.875" style="94" customWidth="1"/>
    <col min="12809" max="12809" width="0" style="94" hidden="1" customWidth="1"/>
    <col min="12810" max="13053" width="9" style="94"/>
    <col min="13054" max="13054" width="4.5" style="94" bestFit="1" customWidth="1"/>
    <col min="13055" max="13056" width="0" style="94" hidden="1" customWidth="1"/>
    <col min="13057" max="13057" width="15.875" style="94" customWidth="1"/>
    <col min="13058" max="13058" width="11.375" style="94" customWidth="1"/>
    <col min="13059" max="13059" width="10.5" style="94" customWidth="1"/>
    <col min="13060" max="13060" width="9" style="94" customWidth="1"/>
    <col min="13061" max="13061" width="16.25" style="94" customWidth="1"/>
    <col min="13062" max="13062" width="23.625" style="94" customWidth="1"/>
    <col min="13063" max="13063" width="14" style="94" customWidth="1"/>
    <col min="13064" max="13064" width="16.875" style="94" customWidth="1"/>
    <col min="13065" max="13065" width="0" style="94" hidden="1" customWidth="1"/>
    <col min="13066" max="13309" width="9" style="94"/>
    <col min="13310" max="13310" width="4.5" style="94" bestFit="1" customWidth="1"/>
    <col min="13311" max="13312" width="0" style="94" hidden="1" customWidth="1"/>
    <col min="13313" max="13313" width="15.875" style="94" customWidth="1"/>
    <col min="13314" max="13314" width="11.375" style="94" customWidth="1"/>
    <col min="13315" max="13315" width="10.5" style="94" customWidth="1"/>
    <col min="13316" max="13316" width="9" style="94" customWidth="1"/>
    <col min="13317" max="13317" width="16.25" style="94" customWidth="1"/>
    <col min="13318" max="13318" width="23.625" style="94" customWidth="1"/>
    <col min="13319" max="13319" width="14" style="94" customWidth="1"/>
    <col min="13320" max="13320" width="16.875" style="94" customWidth="1"/>
    <col min="13321" max="13321" width="0" style="94" hidden="1" customWidth="1"/>
    <col min="13322" max="13565" width="9" style="94"/>
    <col min="13566" max="13566" width="4.5" style="94" bestFit="1" customWidth="1"/>
    <col min="13567" max="13568" width="0" style="94" hidden="1" customWidth="1"/>
    <col min="13569" max="13569" width="15.875" style="94" customWidth="1"/>
    <col min="13570" max="13570" width="11.375" style="94" customWidth="1"/>
    <col min="13571" max="13571" width="10.5" style="94" customWidth="1"/>
    <col min="13572" max="13572" width="9" style="94" customWidth="1"/>
    <col min="13573" max="13573" width="16.25" style="94" customWidth="1"/>
    <col min="13574" max="13574" width="23.625" style="94" customWidth="1"/>
    <col min="13575" max="13575" width="14" style="94" customWidth="1"/>
    <col min="13576" max="13576" width="16.875" style="94" customWidth="1"/>
    <col min="13577" max="13577" width="0" style="94" hidden="1" customWidth="1"/>
    <col min="13578" max="13821" width="9" style="94"/>
    <col min="13822" max="13822" width="4.5" style="94" bestFit="1" customWidth="1"/>
    <col min="13823" max="13824" width="0" style="94" hidden="1" customWidth="1"/>
    <col min="13825" max="13825" width="15.875" style="94" customWidth="1"/>
    <col min="13826" max="13826" width="11.375" style="94" customWidth="1"/>
    <col min="13827" max="13827" width="10.5" style="94" customWidth="1"/>
    <col min="13828" max="13828" width="9" style="94" customWidth="1"/>
    <col min="13829" max="13829" width="16.25" style="94" customWidth="1"/>
    <col min="13830" max="13830" width="23.625" style="94" customWidth="1"/>
    <col min="13831" max="13831" width="14" style="94" customWidth="1"/>
    <col min="13832" max="13832" width="16.875" style="94" customWidth="1"/>
    <col min="13833" max="13833" width="0" style="94" hidden="1" customWidth="1"/>
    <col min="13834" max="14077" width="9" style="94"/>
    <col min="14078" max="14078" width="4.5" style="94" bestFit="1" customWidth="1"/>
    <col min="14079" max="14080" width="0" style="94" hidden="1" customWidth="1"/>
    <col min="14081" max="14081" width="15.875" style="94" customWidth="1"/>
    <col min="14082" max="14082" width="11.375" style="94" customWidth="1"/>
    <col min="14083" max="14083" width="10.5" style="94" customWidth="1"/>
    <col min="14084" max="14084" width="9" style="94" customWidth="1"/>
    <col min="14085" max="14085" width="16.25" style="94" customWidth="1"/>
    <col min="14086" max="14086" width="23.625" style="94" customWidth="1"/>
    <col min="14087" max="14087" width="14" style="94" customWidth="1"/>
    <col min="14088" max="14088" width="16.875" style="94" customWidth="1"/>
    <col min="14089" max="14089" width="0" style="94" hidden="1" customWidth="1"/>
    <col min="14090" max="14333" width="9" style="94"/>
    <col min="14334" max="14334" width="4.5" style="94" bestFit="1" customWidth="1"/>
    <col min="14335" max="14336" width="0" style="94" hidden="1" customWidth="1"/>
    <col min="14337" max="14337" width="15.875" style="94" customWidth="1"/>
    <col min="14338" max="14338" width="11.375" style="94" customWidth="1"/>
    <col min="14339" max="14339" width="10.5" style="94" customWidth="1"/>
    <col min="14340" max="14340" width="9" style="94" customWidth="1"/>
    <col min="14341" max="14341" width="16.25" style="94" customWidth="1"/>
    <col min="14342" max="14342" width="23.625" style="94" customWidth="1"/>
    <col min="14343" max="14343" width="14" style="94" customWidth="1"/>
    <col min="14344" max="14344" width="16.875" style="94" customWidth="1"/>
    <col min="14345" max="14345" width="0" style="94" hidden="1" customWidth="1"/>
    <col min="14346" max="14589" width="9" style="94"/>
    <col min="14590" max="14590" width="4.5" style="94" bestFit="1" customWidth="1"/>
    <col min="14591" max="14592" width="0" style="94" hidden="1" customWidth="1"/>
    <col min="14593" max="14593" width="15.875" style="94" customWidth="1"/>
    <col min="14594" max="14594" width="11.375" style="94" customWidth="1"/>
    <col min="14595" max="14595" width="10.5" style="94" customWidth="1"/>
    <col min="14596" max="14596" width="9" style="94" customWidth="1"/>
    <col min="14597" max="14597" width="16.25" style="94" customWidth="1"/>
    <col min="14598" max="14598" width="23.625" style="94" customWidth="1"/>
    <col min="14599" max="14599" width="14" style="94" customWidth="1"/>
    <col min="14600" max="14600" width="16.875" style="94" customWidth="1"/>
    <col min="14601" max="14601" width="0" style="94" hidden="1" customWidth="1"/>
    <col min="14602" max="14845" width="9" style="94"/>
    <col min="14846" max="14846" width="4.5" style="94" bestFit="1" customWidth="1"/>
    <col min="14847" max="14848" width="0" style="94" hidden="1" customWidth="1"/>
    <col min="14849" max="14849" width="15.875" style="94" customWidth="1"/>
    <col min="14850" max="14850" width="11.375" style="94" customWidth="1"/>
    <col min="14851" max="14851" width="10.5" style="94" customWidth="1"/>
    <col min="14852" max="14852" width="9" style="94" customWidth="1"/>
    <col min="14853" max="14853" width="16.25" style="94" customWidth="1"/>
    <col min="14854" max="14854" width="23.625" style="94" customWidth="1"/>
    <col min="14855" max="14855" width="14" style="94" customWidth="1"/>
    <col min="14856" max="14856" width="16.875" style="94" customWidth="1"/>
    <col min="14857" max="14857" width="0" style="94" hidden="1" customWidth="1"/>
    <col min="14858" max="15101" width="9" style="94"/>
    <col min="15102" max="15102" width="4.5" style="94" bestFit="1" customWidth="1"/>
    <col min="15103" max="15104" width="0" style="94" hidden="1" customWidth="1"/>
    <col min="15105" max="15105" width="15.875" style="94" customWidth="1"/>
    <col min="15106" max="15106" width="11.375" style="94" customWidth="1"/>
    <col min="15107" max="15107" width="10.5" style="94" customWidth="1"/>
    <col min="15108" max="15108" width="9" style="94" customWidth="1"/>
    <col min="15109" max="15109" width="16.25" style="94" customWidth="1"/>
    <col min="15110" max="15110" width="23.625" style="94" customWidth="1"/>
    <col min="15111" max="15111" width="14" style="94" customWidth="1"/>
    <col min="15112" max="15112" width="16.875" style="94" customWidth="1"/>
    <col min="15113" max="15113" width="0" style="94" hidden="1" customWidth="1"/>
    <col min="15114" max="15357" width="9" style="94"/>
    <col min="15358" max="15358" width="4.5" style="94" bestFit="1" customWidth="1"/>
    <col min="15359" max="15360" width="0" style="94" hidden="1" customWidth="1"/>
    <col min="15361" max="15361" width="15.875" style="94" customWidth="1"/>
    <col min="15362" max="15362" width="11.375" style="94" customWidth="1"/>
    <col min="15363" max="15363" width="10.5" style="94" customWidth="1"/>
    <col min="15364" max="15364" width="9" style="94" customWidth="1"/>
    <col min="15365" max="15365" width="16.25" style="94" customWidth="1"/>
    <col min="15366" max="15366" width="23.625" style="94" customWidth="1"/>
    <col min="15367" max="15367" width="14" style="94" customWidth="1"/>
    <col min="15368" max="15368" width="16.875" style="94" customWidth="1"/>
    <col min="15369" max="15369" width="0" style="94" hidden="1" customWidth="1"/>
    <col min="15370" max="15613" width="9" style="94"/>
    <col min="15614" max="15614" width="4.5" style="94" bestFit="1" customWidth="1"/>
    <col min="15615" max="15616" width="0" style="94" hidden="1" customWidth="1"/>
    <col min="15617" max="15617" width="15.875" style="94" customWidth="1"/>
    <col min="15618" max="15618" width="11.375" style="94" customWidth="1"/>
    <col min="15619" max="15619" width="10.5" style="94" customWidth="1"/>
    <col min="15620" max="15620" width="9" style="94" customWidth="1"/>
    <col min="15621" max="15621" width="16.25" style="94" customWidth="1"/>
    <col min="15622" max="15622" width="23.625" style="94" customWidth="1"/>
    <col min="15623" max="15623" width="14" style="94" customWidth="1"/>
    <col min="15624" max="15624" width="16.875" style="94" customWidth="1"/>
    <col min="15625" max="15625" width="0" style="94" hidden="1" customWidth="1"/>
    <col min="15626" max="15869" width="9" style="94"/>
    <col min="15870" max="15870" width="4.5" style="94" bestFit="1" customWidth="1"/>
    <col min="15871" max="15872" width="0" style="94" hidden="1" customWidth="1"/>
    <col min="15873" max="15873" width="15.875" style="94" customWidth="1"/>
    <col min="15874" max="15874" width="11.375" style="94" customWidth="1"/>
    <col min="15875" max="15875" width="10.5" style="94" customWidth="1"/>
    <col min="15876" max="15876" width="9" style="94" customWidth="1"/>
    <col min="15877" max="15877" width="16.25" style="94" customWidth="1"/>
    <col min="15878" max="15878" width="23.625" style="94" customWidth="1"/>
    <col min="15879" max="15879" width="14" style="94" customWidth="1"/>
    <col min="15880" max="15880" width="16.875" style="94" customWidth="1"/>
    <col min="15881" max="15881" width="0" style="94" hidden="1" customWidth="1"/>
    <col min="15882" max="16125" width="9" style="94"/>
    <col min="16126" max="16126" width="4.5" style="94" bestFit="1" customWidth="1"/>
    <col min="16127" max="16128" width="0" style="94" hidden="1" customWidth="1"/>
    <col min="16129" max="16129" width="15.875" style="94" customWidth="1"/>
    <col min="16130" max="16130" width="11.375" style="94" customWidth="1"/>
    <col min="16131" max="16131" width="10.5" style="94" customWidth="1"/>
    <col min="16132" max="16132" width="9" style="94" customWidth="1"/>
    <col min="16133" max="16133" width="16.25" style="94" customWidth="1"/>
    <col min="16134" max="16134" width="23.625" style="94" customWidth="1"/>
    <col min="16135" max="16135" width="14" style="94" customWidth="1"/>
    <col min="16136" max="16136" width="16.875" style="94" customWidth="1"/>
    <col min="16137" max="16137" width="0" style="94" hidden="1" customWidth="1"/>
    <col min="16138" max="16384" width="9" style="94"/>
  </cols>
  <sheetData>
    <row r="1" spans="1:10" hidden="1" x14ac:dyDescent="0.25">
      <c r="I1" s="95" t="s">
        <v>80</v>
      </c>
    </row>
    <row r="2" spans="1:10" x14ac:dyDescent="0.25">
      <c r="H2" s="95"/>
      <c r="I2" s="95"/>
    </row>
    <row r="3" spans="1:10" x14ac:dyDescent="0.25">
      <c r="A3" s="769" t="s">
        <v>81</v>
      </c>
      <c r="B3" s="769"/>
      <c r="C3" s="769"/>
      <c r="D3" s="769"/>
      <c r="E3" s="769"/>
      <c r="F3" s="769"/>
      <c r="G3" s="769"/>
      <c r="H3" s="769"/>
    </row>
    <row r="5" spans="1:10" x14ac:dyDescent="0.25">
      <c r="B5" s="96">
        <v>1800000</v>
      </c>
      <c r="C5" s="94" t="s">
        <v>82</v>
      </c>
      <c r="I5" s="94" t="s">
        <v>83</v>
      </c>
    </row>
    <row r="6" spans="1:10" ht="33" x14ac:dyDescent="0.25">
      <c r="A6" s="97" t="s">
        <v>0</v>
      </c>
      <c r="B6" s="98" t="s">
        <v>84</v>
      </c>
      <c r="C6" s="98" t="s">
        <v>85</v>
      </c>
      <c r="D6" s="98" t="s">
        <v>86</v>
      </c>
      <c r="E6" s="98" t="s">
        <v>87</v>
      </c>
      <c r="F6" s="98" t="s">
        <v>88</v>
      </c>
      <c r="G6" s="98" t="s">
        <v>89</v>
      </c>
      <c r="H6" s="98" t="s">
        <v>90</v>
      </c>
      <c r="I6" s="111" t="s">
        <v>91</v>
      </c>
      <c r="J6" s="98" t="s">
        <v>114</v>
      </c>
    </row>
    <row r="7" spans="1:10" x14ac:dyDescent="0.25">
      <c r="A7" s="99" t="s">
        <v>92</v>
      </c>
      <c r="B7" s="99" t="s">
        <v>93</v>
      </c>
      <c r="C7" s="99" t="s">
        <v>94</v>
      </c>
      <c r="D7" s="99" t="s">
        <v>95</v>
      </c>
      <c r="E7" s="99" t="s">
        <v>288</v>
      </c>
      <c r="F7" s="99" t="s">
        <v>96</v>
      </c>
      <c r="G7" s="99" t="s">
        <v>97</v>
      </c>
      <c r="H7" s="99" t="s">
        <v>98</v>
      </c>
      <c r="I7" s="112" t="s">
        <v>99</v>
      </c>
      <c r="J7" s="100"/>
    </row>
    <row r="8" spans="1:10" hidden="1" x14ac:dyDescent="0.25">
      <c r="A8" s="100"/>
      <c r="B8" s="101"/>
      <c r="C8" s="101"/>
      <c r="D8" s="101"/>
      <c r="E8" s="101"/>
      <c r="F8" s="101">
        <f>23.5%</f>
        <v>0.23499999999999999</v>
      </c>
      <c r="G8" s="101"/>
      <c r="H8" s="101">
        <v>26</v>
      </c>
      <c r="I8" s="113">
        <f>8</f>
        <v>8</v>
      </c>
      <c r="J8" s="100"/>
    </row>
    <row r="9" spans="1:10" ht="22.15" customHeight="1" x14ac:dyDescent="0.25">
      <c r="A9" s="101">
        <v>1</v>
      </c>
      <c r="B9" s="100" t="s">
        <v>100</v>
      </c>
      <c r="C9" s="101" t="s">
        <v>101</v>
      </c>
      <c r="D9" s="100">
        <v>2.34</v>
      </c>
      <c r="E9" s="102">
        <f>ROUNDDOWN($B$5*(D9),0)</f>
        <v>4212000</v>
      </c>
      <c r="F9" s="102">
        <f t="shared" ref="F9:F16" si="0">ROUNDDOWN($F$8*E9,0)</f>
        <v>989820</v>
      </c>
      <c r="G9" s="102">
        <f t="shared" ref="G9:G16" si="1">SUM(E9,F9)</f>
        <v>5201820</v>
      </c>
      <c r="H9" s="102">
        <f>ROUND(G9/$H$8,0)</f>
        <v>200070</v>
      </c>
      <c r="I9" s="114">
        <f>ROUND(H9/$I$8,0)</f>
        <v>25009</v>
      </c>
      <c r="J9" s="100"/>
    </row>
    <row r="10" spans="1:10" ht="22.15" customHeight="1" x14ac:dyDescent="0.25">
      <c r="A10" s="101">
        <v>2</v>
      </c>
      <c r="B10" s="100" t="s">
        <v>102</v>
      </c>
      <c r="C10" s="101" t="s">
        <v>103</v>
      </c>
      <c r="D10" s="100">
        <v>2.67</v>
      </c>
      <c r="E10" s="102">
        <f t="shared" ref="E10:E16" si="2">ROUNDDOWN($B$5*(D10),0)</f>
        <v>4806000</v>
      </c>
      <c r="F10" s="102">
        <f t="shared" si="0"/>
        <v>1129410</v>
      </c>
      <c r="G10" s="102">
        <f t="shared" si="1"/>
        <v>5935410</v>
      </c>
      <c r="H10" s="102">
        <f t="shared" ref="H10:H16" si="3">ROUND(G10/$H$8,0)</f>
        <v>228285</v>
      </c>
      <c r="I10" s="114"/>
      <c r="J10" s="100"/>
    </row>
    <row r="11" spans="1:10" ht="22.15" customHeight="1" x14ac:dyDescent="0.25">
      <c r="A11" s="101">
        <v>3</v>
      </c>
      <c r="B11" s="100" t="s">
        <v>104</v>
      </c>
      <c r="C11" s="101" t="s">
        <v>105</v>
      </c>
      <c r="D11" s="103">
        <v>3</v>
      </c>
      <c r="E11" s="102">
        <f t="shared" si="2"/>
        <v>5400000</v>
      </c>
      <c r="F11" s="102">
        <f t="shared" si="0"/>
        <v>1269000</v>
      </c>
      <c r="G11" s="102">
        <f t="shared" si="1"/>
        <v>6669000</v>
      </c>
      <c r="H11" s="102">
        <f t="shared" si="3"/>
        <v>256500</v>
      </c>
      <c r="I11" s="102"/>
      <c r="J11" s="100"/>
    </row>
    <row r="12" spans="1:10" ht="22.15" customHeight="1" x14ac:dyDescent="0.25">
      <c r="A12" s="771">
        <v>4</v>
      </c>
      <c r="B12" s="770" t="s">
        <v>106</v>
      </c>
      <c r="C12" s="101" t="s">
        <v>289</v>
      </c>
      <c r="D12" s="103">
        <v>3.33</v>
      </c>
      <c r="E12" s="102">
        <f t="shared" si="2"/>
        <v>5994000</v>
      </c>
      <c r="F12" s="102">
        <f t="shared" si="0"/>
        <v>1408590</v>
      </c>
      <c r="G12" s="102">
        <f t="shared" si="1"/>
        <v>7402590</v>
      </c>
      <c r="H12" s="102">
        <f t="shared" si="3"/>
        <v>284715</v>
      </c>
      <c r="I12" s="102"/>
      <c r="J12" s="101" t="s">
        <v>115</v>
      </c>
    </row>
    <row r="13" spans="1:10" ht="22.15" customHeight="1" x14ac:dyDescent="0.25">
      <c r="A13" s="772"/>
      <c r="B13" s="770"/>
      <c r="C13" s="101" t="s">
        <v>107</v>
      </c>
      <c r="D13" s="103">
        <v>3.33</v>
      </c>
      <c r="E13" s="102">
        <f t="shared" si="2"/>
        <v>5994000</v>
      </c>
      <c r="F13" s="102">
        <f t="shared" si="0"/>
        <v>1408590</v>
      </c>
      <c r="G13" s="102">
        <f t="shared" si="1"/>
        <v>7402590</v>
      </c>
      <c r="H13" s="102">
        <f t="shared" si="3"/>
        <v>284715</v>
      </c>
      <c r="I13" s="102">
        <f>ROUND(H13/$I$8,0)</f>
        <v>35589</v>
      </c>
      <c r="J13" s="100"/>
    </row>
    <row r="14" spans="1:10" ht="22.15" customHeight="1" x14ac:dyDescent="0.25">
      <c r="A14" s="101">
        <v>5</v>
      </c>
      <c r="B14" s="100" t="s">
        <v>108</v>
      </c>
      <c r="C14" s="101" t="s">
        <v>109</v>
      </c>
      <c r="D14" s="103">
        <v>3.66</v>
      </c>
      <c r="E14" s="102">
        <f t="shared" si="2"/>
        <v>6588000</v>
      </c>
      <c r="F14" s="102">
        <f t="shared" si="0"/>
        <v>1548180</v>
      </c>
      <c r="G14" s="102">
        <f t="shared" si="1"/>
        <v>8136180</v>
      </c>
      <c r="H14" s="102">
        <f t="shared" si="3"/>
        <v>312930</v>
      </c>
      <c r="I14" s="104"/>
      <c r="J14" s="100"/>
    </row>
    <row r="15" spans="1:10" ht="22.15" customHeight="1" x14ac:dyDescent="0.25">
      <c r="A15" s="101">
        <v>6</v>
      </c>
      <c r="B15" s="100" t="s">
        <v>110</v>
      </c>
      <c r="C15" s="101" t="s">
        <v>111</v>
      </c>
      <c r="D15" s="103">
        <v>3.99</v>
      </c>
      <c r="E15" s="102">
        <f t="shared" si="2"/>
        <v>7182000</v>
      </c>
      <c r="F15" s="102">
        <f t="shared" si="0"/>
        <v>1687770</v>
      </c>
      <c r="G15" s="102">
        <f t="shared" si="1"/>
        <v>8869770</v>
      </c>
      <c r="H15" s="102">
        <f t="shared" si="3"/>
        <v>341145</v>
      </c>
      <c r="J15" s="100"/>
    </row>
    <row r="16" spans="1:10" ht="22.15" customHeight="1" x14ac:dyDescent="0.25">
      <c r="A16" s="101">
        <v>7</v>
      </c>
      <c r="B16" s="100" t="s">
        <v>112</v>
      </c>
      <c r="C16" s="101" t="s">
        <v>113</v>
      </c>
      <c r="D16" s="103">
        <v>4.32</v>
      </c>
      <c r="E16" s="102">
        <f t="shared" si="2"/>
        <v>7776000</v>
      </c>
      <c r="F16" s="102">
        <f t="shared" si="0"/>
        <v>1827360</v>
      </c>
      <c r="G16" s="102">
        <f t="shared" si="1"/>
        <v>9603360</v>
      </c>
      <c r="H16" s="102">
        <f t="shared" si="3"/>
        <v>369360</v>
      </c>
      <c r="J16" s="100"/>
    </row>
    <row r="17" spans="2:2" x14ac:dyDescent="0.25">
      <c r="B17" s="584" t="s">
        <v>283</v>
      </c>
    </row>
    <row r="18" spans="2:2" ht="22.15" customHeight="1" x14ac:dyDescent="0.25">
      <c r="B18" s="585" t="s">
        <v>284</v>
      </c>
    </row>
    <row r="19" spans="2:2" ht="22.15" customHeight="1" x14ac:dyDescent="0.25">
      <c r="B19" s="586" t="s">
        <v>285</v>
      </c>
    </row>
    <row r="20" spans="2:2" ht="22.15" customHeight="1" x14ac:dyDescent="0.25">
      <c r="B20" s="585" t="s">
        <v>286</v>
      </c>
    </row>
    <row r="21" spans="2:2" ht="22.15" customHeight="1" x14ac:dyDescent="0.25">
      <c r="B21" s="585" t="s">
        <v>287</v>
      </c>
    </row>
  </sheetData>
  <mergeCells count="3">
    <mergeCell ref="A3:H3"/>
    <mergeCell ref="B12:B13"/>
    <mergeCell ref="A12:A13"/>
  </mergeCells>
  <pageMargins left="0.76" right="0.19" top="0.62"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C32" sqref="C32"/>
    </sheetView>
  </sheetViews>
  <sheetFormatPr defaultColWidth="9" defaultRowHeight="16.5" x14ac:dyDescent="0.25"/>
  <cols>
    <col min="1" max="1" width="5.75" style="2" bestFit="1" customWidth="1"/>
    <col min="2" max="2" width="28.875" style="2" customWidth="1"/>
    <col min="3" max="3" width="28.125" style="2" customWidth="1"/>
    <col min="4" max="4" width="6.25" style="37" customWidth="1"/>
    <col min="5" max="5" width="9.875" style="2" customWidth="1"/>
    <col min="6" max="6" width="10.875" style="2" customWidth="1"/>
    <col min="7" max="16384" width="9" style="2"/>
  </cols>
  <sheetData>
    <row r="1" spans="1:6" ht="24" customHeight="1" x14ac:dyDescent="0.25">
      <c r="C1" s="692" t="s">
        <v>38</v>
      </c>
      <c r="D1" s="692"/>
      <c r="E1" s="692"/>
      <c r="F1" s="692"/>
    </row>
    <row r="2" spans="1:6" ht="54.75" customHeight="1" x14ac:dyDescent="0.25">
      <c r="A2" s="693" t="s">
        <v>0</v>
      </c>
      <c r="B2" s="693" t="s">
        <v>1</v>
      </c>
      <c r="C2" s="695" t="s">
        <v>16</v>
      </c>
      <c r="D2" s="695" t="s">
        <v>4</v>
      </c>
      <c r="E2" s="697" t="s">
        <v>46</v>
      </c>
      <c r="F2" s="698"/>
    </row>
    <row r="3" spans="1:6" ht="36" customHeight="1" x14ac:dyDescent="0.25">
      <c r="A3" s="694"/>
      <c r="B3" s="694"/>
      <c r="C3" s="696"/>
      <c r="D3" s="696"/>
      <c r="E3" s="19" t="s">
        <v>2</v>
      </c>
      <c r="F3" s="17" t="s">
        <v>3</v>
      </c>
    </row>
    <row r="4" spans="1:6" ht="33" x14ac:dyDescent="0.25">
      <c r="A4" s="668">
        <v>1</v>
      </c>
      <c r="B4" s="671" t="s">
        <v>39</v>
      </c>
      <c r="C4" s="42" t="s">
        <v>45</v>
      </c>
      <c r="D4" s="4" t="s">
        <v>44</v>
      </c>
      <c r="E4" s="4"/>
      <c r="F4" s="3">
        <v>2</v>
      </c>
    </row>
    <row r="5" spans="1:6" x14ac:dyDescent="0.25">
      <c r="A5" s="669"/>
      <c r="B5" s="672"/>
      <c r="C5" s="39" t="s">
        <v>18</v>
      </c>
      <c r="D5" s="21"/>
      <c r="E5" s="21"/>
      <c r="F5" s="21"/>
    </row>
    <row r="6" spans="1:6" x14ac:dyDescent="0.25">
      <c r="A6" s="669"/>
      <c r="B6" s="672"/>
      <c r="C6" s="23" t="s">
        <v>11</v>
      </c>
      <c r="D6" s="11" t="s">
        <v>12</v>
      </c>
      <c r="E6" s="21"/>
      <c r="F6" s="21">
        <v>1</v>
      </c>
    </row>
    <row r="7" spans="1:6" x14ac:dyDescent="0.25">
      <c r="A7" s="669"/>
      <c r="B7" s="672"/>
      <c r="C7" s="10" t="s">
        <v>5</v>
      </c>
      <c r="D7" s="11" t="s">
        <v>22</v>
      </c>
      <c r="E7" s="6"/>
      <c r="F7" s="6">
        <v>1</v>
      </c>
    </row>
    <row r="8" spans="1:6" x14ac:dyDescent="0.25">
      <c r="A8" s="669"/>
      <c r="B8" s="672"/>
      <c r="C8" s="23" t="s">
        <v>6</v>
      </c>
      <c r="D8" s="11" t="s">
        <v>29</v>
      </c>
      <c r="E8" s="41"/>
      <c r="F8" s="41">
        <v>1</v>
      </c>
    </row>
    <row r="9" spans="1:6" ht="33" x14ac:dyDescent="0.25">
      <c r="A9" s="669"/>
      <c r="B9" s="672"/>
      <c r="C9" s="25" t="s">
        <v>25</v>
      </c>
      <c r="D9" s="26"/>
      <c r="E9" s="27"/>
      <c r="F9" s="310"/>
    </row>
    <row r="10" spans="1:6" ht="18.75" x14ac:dyDescent="0.25">
      <c r="A10" s="669"/>
      <c r="B10" s="672"/>
      <c r="C10" s="293" t="s">
        <v>154</v>
      </c>
      <c r="D10" s="26" t="s">
        <v>14</v>
      </c>
      <c r="E10" s="26"/>
      <c r="F10" s="26">
        <v>0</v>
      </c>
    </row>
    <row r="11" spans="1:6" ht="18.75" x14ac:dyDescent="0.25">
      <c r="A11" s="669"/>
      <c r="B11" s="672"/>
      <c r="C11" s="293" t="s">
        <v>155</v>
      </c>
      <c r="D11" s="26" t="s">
        <v>14</v>
      </c>
      <c r="E11" s="26"/>
      <c r="F11" s="26">
        <v>1</v>
      </c>
    </row>
    <row r="12" spans="1:6" ht="18.75" x14ac:dyDescent="0.25">
      <c r="A12" s="669"/>
      <c r="B12" s="672"/>
      <c r="C12" s="293" t="s">
        <v>156</v>
      </c>
      <c r="D12" s="26" t="s">
        <v>14</v>
      </c>
      <c r="E12" s="26"/>
      <c r="F12" s="26">
        <v>1.4</v>
      </c>
    </row>
    <row r="13" spans="1:6" ht="18.75" x14ac:dyDescent="0.25">
      <c r="A13" s="669"/>
      <c r="B13" s="672"/>
      <c r="C13" s="293" t="s">
        <v>157</v>
      </c>
      <c r="D13" s="26" t="s">
        <v>14</v>
      </c>
      <c r="E13" s="26"/>
      <c r="F13" s="26">
        <v>1.9</v>
      </c>
    </row>
    <row r="14" spans="1:6" ht="18.75" x14ac:dyDescent="0.25">
      <c r="A14" s="669"/>
      <c r="B14" s="672"/>
      <c r="C14" s="293" t="s">
        <v>158</v>
      </c>
      <c r="D14" s="26"/>
      <c r="E14" s="26"/>
      <c r="F14" s="26">
        <v>2</v>
      </c>
    </row>
    <row r="15" spans="1:6" ht="18.75" x14ac:dyDescent="0.25">
      <c r="A15" s="669"/>
      <c r="B15" s="672"/>
      <c r="C15" s="293" t="s">
        <v>164</v>
      </c>
      <c r="D15" s="26" t="s">
        <v>14</v>
      </c>
      <c r="E15" s="26"/>
      <c r="F15" s="26">
        <v>2.4</v>
      </c>
    </row>
    <row r="16" spans="1:6" ht="18.75" x14ac:dyDescent="0.25">
      <c r="A16" s="669"/>
      <c r="B16" s="672"/>
      <c r="C16" s="293" t="s">
        <v>160</v>
      </c>
      <c r="D16" s="26"/>
      <c r="E16" s="26"/>
      <c r="F16" s="26">
        <v>3</v>
      </c>
    </row>
    <row r="17" spans="1:6" ht="18.75" x14ac:dyDescent="0.25">
      <c r="A17" s="669"/>
      <c r="B17" s="672"/>
      <c r="C17" s="293" t="s">
        <v>161</v>
      </c>
      <c r="D17" s="26" t="s">
        <v>14</v>
      </c>
      <c r="E17" s="26"/>
      <c r="F17" s="26">
        <v>3.3</v>
      </c>
    </row>
    <row r="18" spans="1:6" ht="18.75" x14ac:dyDescent="0.25">
      <c r="A18" s="669"/>
      <c r="B18" s="672"/>
      <c r="C18" s="293" t="s">
        <v>162</v>
      </c>
      <c r="D18" s="26" t="s">
        <v>14</v>
      </c>
      <c r="E18" s="26"/>
      <c r="F18" s="26">
        <v>3.9</v>
      </c>
    </row>
    <row r="19" spans="1:6" ht="33" x14ac:dyDescent="0.25">
      <c r="A19" s="670"/>
      <c r="B19" s="673"/>
      <c r="C19" s="43" t="s">
        <v>15</v>
      </c>
      <c r="D19" s="51" t="s">
        <v>23</v>
      </c>
      <c r="E19" s="44"/>
      <c r="F19" s="44">
        <v>1</v>
      </c>
    </row>
    <row r="20" spans="1:6" ht="35.25" customHeight="1" x14ac:dyDescent="0.25">
      <c r="A20" s="60">
        <v>2</v>
      </c>
      <c r="B20" s="57" t="s">
        <v>40</v>
      </c>
      <c r="C20" s="208" t="s">
        <v>141</v>
      </c>
      <c r="D20" s="19" t="s">
        <v>44</v>
      </c>
      <c r="E20" s="19">
        <v>6</v>
      </c>
      <c r="F20" s="19"/>
    </row>
    <row r="21" spans="1:6" x14ac:dyDescent="0.25">
      <c r="A21" s="61"/>
      <c r="B21" s="58"/>
      <c r="C21" s="30" t="s">
        <v>18</v>
      </c>
      <c r="D21" s="6"/>
      <c r="E21" s="6"/>
      <c r="F21" s="21"/>
    </row>
    <row r="22" spans="1:6" x14ac:dyDescent="0.25">
      <c r="A22" s="61"/>
      <c r="B22" s="58"/>
      <c r="C22" s="8" t="s">
        <v>7</v>
      </c>
      <c r="D22" s="6" t="s">
        <v>20</v>
      </c>
      <c r="E22" s="6">
        <v>0.4</v>
      </c>
      <c r="F22" s="21"/>
    </row>
    <row r="23" spans="1:6" x14ac:dyDescent="0.25">
      <c r="A23" s="61"/>
      <c r="B23" s="58"/>
      <c r="C23" s="10" t="s">
        <v>8</v>
      </c>
      <c r="D23" s="11" t="s">
        <v>21</v>
      </c>
      <c r="E23" s="6">
        <v>0.2</v>
      </c>
      <c r="F23" s="21"/>
    </row>
    <row r="24" spans="1:6" x14ac:dyDescent="0.25">
      <c r="A24" s="61"/>
      <c r="B24" s="58"/>
      <c r="C24" s="8" t="s">
        <v>19</v>
      </c>
      <c r="D24" s="11" t="s">
        <v>21</v>
      </c>
      <c r="E24" s="6">
        <v>0.5</v>
      </c>
      <c r="F24" s="21"/>
    </row>
    <row r="25" spans="1:6" x14ac:dyDescent="0.25">
      <c r="A25" s="62"/>
      <c r="B25" s="59"/>
      <c r="C25" s="46" t="s">
        <v>5</v>
      </c>
      <c r="D25" s="15" t="s">
        <v>22</v>
      </c>
      <c r="E25" s="12">
        <v>1</v>
      </c>
      <c r="F25" s="45"/>
    </row>
    <row r="26" spans="1:6" ht="36" customHeight="1" x14ac:dyDescent="0.25">
      <c r="A26" s="677">
        <v>3</v>
      </c>
      <c r="B26" s="680" t="s">
        <v>41</v>
      </c>
      <c r="C26" s="42" t="s">
        <v>149</v>
      </c>
      <c r="D26" s="19" t="s">
        <v>44</v>
      </c>
      <c r="E26" s="19">
        <v>6</v>
      </c>
      <c r="F26" s="19"/>
    </row>
    <row r="27" spans="1:6" x14ac:dyDescent="0.25">
      <c r="A27" s="678"/>
      <c r="B27" s="681"/>
      <c r="C27" s="30" t="s">
        <v>18</v>
      </c>
      <c r="D27" s="6"/>
      <c r="E27" s="6"/>
      <c r="F27" s="24"/>
    </row>
    <row r="28" spans="1:6" x14ac:dyDescent="0.25">
      <c r="A28" s="678"/>
      <c r="B28" s="681"/>
      <c r="C28" s="8" t="s">
        <v>7</v>
      </c>
      <c r="D28" s="6" t="s">
        <v>20</v>
      </c>
      <c r="E28" s="6">
        <v>1.5</v>
      </c>
      <c r="F28" s="24"/>
    </row>
    <row r="29" spans="1:6" x14ac:dyDescent="0.25">
      <c r="A29" s="678"/>
      <c r="B29" s="681"/>
      <c r="C29" s="10" t="s">
        <v>8</v>
      </c>
      <c r="D29" s="11" t="s">
        <v>21</v>
      </c>
      <c r="E29" s="6">
        <v>0.5</v>
      </c>
      <c r="F29" s="24"/>
    </row>
    <row r="30" spans="1:6" x14ac:dyDescent="0.25">
      <c r="A30" s="678"/>
      <c r="B30" s="681"/>
      <c r="C30" s="8" t="s">
        <v>19</v>
      </c>
      <c r="D30" s="11" t="s">
        <v>21</v>
      </c>
      <c r="E30" s="6">
        <v>2</v>
      </c>
      <c r="F30" s="24"/>
    </row>
    <row r="31" spans="1:6" x14ac:dyDescent="0.25">
      <c r="A31" s="679"/>
      <c r="B31" s="682"/>
      <c r="C31" s="46" t="s">
        <v>5</v>
      </c>
      <c r="D31" s="15" t="s">
        <v>22</v>
      </c>
      <c r="E31" s="12">
        <v>1</v>
      </c>
      <c r="F31" s="33"/>
    </row>
    <row r="32" spans="1:6" ht="52.5" customHeight="1" x14ac:dyDescent="0.25">
      <c r="A32" s="683">
        <v>4</v>
      </c>
      <c r="B32" s="48" t="s">
        <v>42</v>
      </c>
      <c r="C32" s="42" t="s">
        <v>47</v>
      </c>
      <c r="D32" s="19" t="s">
        <v>44</v>
      </c>
      <c r="E32" s="19">
        <v>3</v>
      </c>
      <c r="F32" s="47"/>
    </row>
    <row r="33" spans="1:6" x14ac:dyDescent="0.25">
      <c r="A33" s="683"/>
      <c r="B33" s="49"/>
      <c r="C33" s="30" t="s">
        <v>18</v>
      </c>
      <c r="D33" s="6"/>
      <c r="E33" s="6"/>
      <c r="F33" s="24"/>
    </row>
    <row r="34" spans="1:6" x14ac:dyDescent="0.25">
      <c r="A34" s="683"/>
      <c r="B34" s="49"/>
      <c r="C34" s="8" t="s">
        <v>7</v>
      </c>
      <c r="D34" s="6" t="s">
        <v>20</v>
      </c>
      <c r="E34" s="6">
        <v>0.5</v>
      </c>
      <c r="F34" s="24"/>
    </row>
    <row r="35" spans="1:6" x14ac:dyDescent="0.25">
      <c r="A35" s="684"/>
      <c r="B35" s="50"/>
      <c r="C35" s="46" t="s">
        <v>8</v>
      </c>
      <c r="D35" s="15" t="s">
        <v>21</v>
      </c>
      <c r="E35" s="12">
        <v>0.3</v>
      </c>
      <c r="F35" s="33"/>
    </row>
    <row r="36" spans="1:6" ht="33" x14ac:dyDescent="0.25">
      <c r="A36" s="683">
        <v>5</v>
      </c>
      <c r="B36" s="685" t="s">
        <v>43</v>
      </c>
      <c r="C36" s="42" t="s">
        <v>45</v>
      </c>
      <c r="D36" s="19" t="s">
        <v>44</v>
      </c>
      <c r="E36" s="19">
        <v>1</v>
      </c>
      <c r="F36" s="47"/>
    </row>
    <row r="37" spans="1:6" x14ac:dyDescent="0.25">
      <c r="A37" s="683"/>
      <c r="B37" s="686"/>
      <c r="C37" s="30" t="s">
        <v>18</v>
      </c>
      <c r="D37" s="6"/>
      <c r="E37" s="6"/>
      <c r="F37" s="24"/>
    </row>
    <row r="38" spans="1:6" x14ac:dyDescent="0.25">
      <c r="A38" s="683"/>
      <c r="B38" s="686"/>
      <c r="C38" s="8" t="s">
        <v>7</v>
      </c>
      <c r="D38" s="6" t="s">
        <v>20</v>
      </c>
      <c r="E38" s="6">
        <v>0.3</v>
      </c>
      <c r="F38" s="24"/>
    </row>
    <row r="39" spans="1:6" x14ac:dyDescent="0.25">
      <c r="A39" s="684"/>
      <c r="B39" s="687"/>
      <c r="C39" s="46" t="s">
        <v>8</v>
      </c>
      <c r="D39" s="15" t="s">
        <v>21</v>
      </c>
      <c r="E39" s="12">
        <v>0.2</v>
      </c>
      <c r="F39" s="33"/>
    </row>
  </sheetData>
  <mergeCells count="13">
    <mergeCell ref="C1:F1"/>
    <mergeCell ref="A2:A3"/>
    <mergeCell ref="B2:B3"/>
    <mergeCell ref="C2:C3"/>
    <mergeCell ref="D2:D3"/>
    <mergeCell ref="E2:F2"/>
    <mergeCell ref="B4:B19"/>
    <mergeCell ref="B36:B39"/>
    <mergeCell ref="B26:B31"/>
    <mergeCell ref="A36:A39"/>
    <mergeCell ref="A32:A35"/>
    <mergeCell ref="A26:A31"/>
    <mergeCell ref="A4:A19"/>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topLeftCell="A35" workbookViewId="0">
      <selection activeCell="A46" sqref="A46"/>
    </sheetView>
  </sheetViews>
  <sheetFormatPr defaultColWidth="9" defaultRowHeight="16.5" x14ac:dyDescent="0.25"/>
  <cols>
    <col min="1" max="1" width="5.75" style="340" bestFit="1" customWidth="1"/>
    <col min="2" max="2" width="24.75" style="340" customWidth="1"/>
    <col min="3" max="3" width="10.75" style="388" bestFit="1" customWidth="1"/>
    <col min="4" max="4" width="9" style="340"/>
    <col min="5" max="5" width="10.125" style="340" customWidth="1"/>
    <col min="6" max="6" width="9.125" style="340" customWidth="1"/>
    <col min="7" max="7" width="11.125" style="340" bestFit="1" customWidth="1"/>
    <col min="8" max="8" width="12.625" style="340" customWidth="1"/>
    <col min="9" max="9" width="7.5" style="522" customWidth="1"/>
    <col min="10" max="10" width="13.75" style="386" customWidth="1"/>
    <col min="11" max="12" width="11.125" style="340" bestFit="1" customWidth="1"/>
    <col min="13" max="13" width="10" style="340" bestFit="1" customWidth="1"/>
    <col min="14" max="16384" width="9" style="340"/>
  </cols>
  <sheetData>
    <row r="1" spans="1:12" x14ac:dyDescent="0.25">
      <c r="A1" s="739" t="s">
        <v>237</v>
      </c>
      <c r="B1" s="739"/>
      <c r="C1" s="739"/>
      <c r="D1" s="739"/>
      <c r="E1" s="739"/>
      <c r="F1" s="739"/>
      <c r="G1" s="739"/>
      <c r="H1" s="739"/>
      <c r="I1" s="739"/>
      <c r="J1" s="739"/>
    </row>
    <row r="2" spans="1:12" ht="41.25" customHeight="1" x14ac:dyDescent="0.25">
      <c r="A2" s="740" t="s">
        <v>184</v>
      </c>
      <c r="B2" s="740"/>
      <c r="C2" s="740"/>
      <c r="D2" s="740"/>
      <c r="E2" s="740"/>
      <c r="F2" s="740"/>
      <c r="G2" s="740"/>
      <c r="H2" s="740"/>
      <c r="I2" s="740"/>
      <c r="J2" s="740"/>
    </row>
    <row r="3" spans="1:12" x14ac:dyDescent="0.25">
      <c r="A3" s="341"/>
      <c r="B3" s="341"/>
      <c r="C3" s="342"/>
      <c r="D3" s="341"/>
      <c r="E3" s="341"/>
      <c r="F3" s="341"/>
      <c r="G3" s="341"/>
      <c r="H3" s="341"/>
      <c r="I3" s="341"/>
      <c r="J3" s="450" t="s">
        <v>118</v>
      </c>
    </row>
    <row r="4" spans="1:12" ht="55.9" customHeight="1" x14ac:dyDescent="0.25">
      <c r="A4" s="344" t="s">
        <v>0</v>
      </c>
      <c r="B4" s="344" t="s">
        <v>1</v>
      </c>
      <c r="C4" s="389" t="s">
        <v>119</v>
      </c>
      <c r="D4" s="136" t="s">
        <v>120</v>
      </c>
      <c r="E4" s="136" t="s">
        <v>121</v>
      </c>
      <c r="F4" s="137" t="s">
        <v>122</v>
      </c>
      <c r="G4" s="136" t="s">
        <v>123</v>
      </c>
      <c r="H4" s="136" t="s">
        <v>124</v>
      </c>
      <c r="I4" s="395" t="s">
        <v>86</v>
      </c>
      <c r="J4" s="136" t="s">
        <v>78</v>
      </c>
    </row>
    <row r="5" spans="1:12" x14ac:dyDescent="0.25">
      <c r="A5" s="526" t="s">
        <v>142</v>
      </c>
      <c r="B5" s="527" t="s">
        <v>192</v>
      </c>
      <c r="C5" s="389"/>
      <c r="D5" s="136"/>
      <c r="E5" s="136"/>
      <c r="F5" s="136"/>
      <c r="G5" s="136"/>
      <c r="H5" s="136"/>
      <c r="I5" s="136"/>
      <c r="J5" s="136"/>
      <c r="K5" s="724" t="s">
        <v>257</v>
      </c>
      <c r="L5" s="725"/>
    </row>
    <row r="6" spans="1:12" ht="66" x14ac:dyDescent="0.25">
      <c r="A6" s="420">
        <v>1</v>
      </c>
      <c r="B6" s="528" t="s">
        <v>193</v>
      </c>
      <c r="C6" s="389"/>
      <c r="D6" s="136"/>
      <c r="E6" s="136"/>
      <c r="F6" s="136"/>
      <c r="G6" s="136"/>
      <c r="H6" s="136"/>
      <c r="I6" s="136"/>
      <c r="J6" s="136"/>
      <c r="K6" s="554" t="s">
        <v>181</v>
      </c>
      <c r="L6" s="554" t="s">
        <v>238</v>
      </c>
    </row>
    <row r="7" spans="1:12" ht="87" customHeight="1" x14ac:dyDescent="0.25">
      <c r="A7" s="773" t="s">
        <v>194</v>
      </c>
      <c r="B7" s="529" t="s">
        <v>39</v>
      </c>
      <c r="C7" s="313"/>
      <c r="D7" s="136"/>
      <c r="E7" s="136"/>
      <c r="F7" s="136"/>
      <c r="G7" s="136"/>
      <c r="H7" s="136"/>
      <c r="I7" s="136"/>
      <c r="J7" s="136"/>
      <c r="K7" s="391">
        <f>J8+J17+J18+J19+J20+J24+J25+J26+J27+J29+J30+J31+J32+J34+J35+J37+J46+J47+J48+J49+J50+J52</f>
        <v>107083894.5</v>
      </c>
      <c r="L7" s="391">
        <f>J16+J17+J18+J19+J20+J24+J25+J26+J27+J29+J30+J31+J32+J34+J35+J45+J46+J47+J48+J49+J50+J60</f>
        <v>108942668.25</v>
      </c>
    </row>
    <row r="8" spans="1:12" ht="18.75" x14ac:dyDescent="0.25">
      <c r="A8" s="773"/>
      <c r="B8" s="530" t="s">
        <v>154</v>
      </c>
      <c r="C8" s="315">
        <f>NC_VT!H7</f>
        <v>1138860</v>
      </c>
      <c r="D8" s="322"/>
      <c r="E8" s="322">
        <f>NC_VT!H13</f>
        <v>0</v>
      </c>
      <c r="F8" s="322"/>
      <c r="G8" s="362">
        <f>SUM(C8:F8)</f>
        <v>1138860</v>
      </c>
      <c r="H8" s="362">
        <f>G8*15%</f>
        <v>170829</v>
      </c>
      <c r="I8" s="453">
        <v>2</v>
      </c>
      <c r="J8" s="362">
        <f>(G8+H8)*I8</f>
        <v>2619378</v>
      </c>
      <c r="L8" s="386"/>
    </row>
    <row r="9" spans="1:12" ht="18.75" x14ac:dyDescent="0.25">
      <c r="A9" s="773"/>
      <c r="B9" s="530" t="s">
        <v>155</v>
      </c>
      <c r="C9" s="315">
        <f>NC_VT!H7</f>
        <v>1138860</v>
      </c>
      <c r="D9" s="322"/>
      <c r="E9" s="322">
        <f>NC_VT!H14</f>
        <v>21350</v>
      </c>
      <c r="F9" s="322">
        <f>NC_VT!H24</f>
        <v>320000</v>
      </c>
      <c r="G9" s="362">
        <f>SUM(C9:F9)</f>
        <v>1480210</v>
      </c>
      <c r="H9" s="362">
        <f t="shared" ref="H9:H20" si="0">G9*15%</f>
        <v>222031.5</v>
      </c>
      <c r="I9" s="453">
        <v>2</v>
      </c>
      <c r="J9" s="362">
        <f t="shared" ref="J9:J19" si="1">(G9+H9)*I9</f>
        <v>3404483</v>
      </c>
    </row>
    <row r="10" spans="1:12" ht="18.75" x14ac:dyDescent="0.25">
      <c r="A10" s="773"/>
      <c r="B10" s="530" t="s">
        <v>156</v>
      </c>
      <c r="C10" s="315">
        <f>NC_VT!H7</f>
        <v>1138860</v>
      </c>
      <c r="D10" s="322"/>
      <c r="E10" s="322">
        <f>NC_VT!H15</f>
        <v>29890</v>
      </c>
      <c r="F10" s="322">
        <f>NC_VT!H24</f>
        <v>320000</v>
      </c>
      <c r="G10" s="362">
        <f>SUM(C10:F10)</f>
        <v>1488750</v>
      </c>
      <c r="H10" s="362">
        <f t="shared" si="0"/>
        <v>223312.5</v>
      </c>
      <c r="I10" s="453">
        <v>2</v>
      </c>
      <c r="J10" s="362">
        <f t="shared" si="1"/>
        <v>3424125</v>
      </c>
    </row>
    <row r="11" spans="1:12" ht="18.75" x14ac:dyDescent="0.25">
      <c r="A11" s="773"/>
      <c r="B11" s="530" t="s">
        <v>157</v>
      </c>
      <c r="C11" s="315">
        <f>NC_VT!H7</f>
        <v>1138860</v>
      </c>
      <c r="D11" s="322"/>
      <c r="E11" s="322">
        <f>NC_VT!H16</f>
        <v>40565</v>
      </c>
      <c r="F11" s="322">
        <f>NC_VT!H24</f>
        <v>320000</v>
      </c>
      <c r="G11" s="362">
        <f t="shared" ref="G11:G20" si="2">SUM(C11:F11)</f>
        <v>1499425</v>
      </c>
      <c r="H11" s="362">
        <f t="shared" si="0"/>
        <v>224913.75</v>
      </c>
      <c r="I11" s="453">
        <v>2</v>
      </c>
      <c r="J11" s="362">
        <f t="shared" si="1"/>
        <v>3448677.5</v>
      </c>
    </row>
    <row r="12" spans="1:12" ht="18.75" x14ac:dyDescent="0.25">
      <c r="A12" s="773"/>
      <c r="B12" s="530" t="s">
        <v>158</v>
      </c>
      <c r="C12" s="315">
        <f>NC_VT!H7</f>
        <v>1138860</v>
      </c>
      <c r="D12" s="322"/>
      <c r="E12" s="322">
        <f>NC_VT!H17</f>
        <v>42700</v>
      </c>
      <c r="F12" s="322">
        <f>NC_VT!H24</f>
        <v>320000</v>
      </c>
      <c r="G12" s="362">
        <f>SUM(C12:F12)</f>
        <v>1501560</v>
      </c>
      <c r="H12" s="362">
        <f t="shared" si="0"/>
        <v>225234</v>
      </c>
      <c r="I12" s="453">
        <v>2</v>
      </c>
      <c r="J12" s="362">
        <f t="shared" si="1"/>
        <v>3453588</v>
      </c>
    </row>
    <row r="13" spans="1:12" ht="18.75" x14ac:dyDescent="0.25">
      <c r="A13" s="773"/>
      <c r="B13" s="530" t="s">
        <v>164</v>
      </c>
      <c r="C13" s="315">
        <f>NC_VT!H7</f>
        <v>1138860</v>
      </c>
      <c r="D13" s="322"/>
      <c r="E13" s="322">
        <f>NC_VT!H18</f>
        <v>51240</v>
      </c>
      <c r="F13" s="322">
        <f>NC_VT!H24</f>
        <v>320000</v>
      </c>
      <c r="G13" s="362">
        <f t="shared" si="2"/>
        <v>1510100</v>
      </c>
      <c r="H13" s="362">
        <f t="shared" si="0"/>
        <v>226515</v>
      </c>
      <c r="I13" s="453">
        <v>2</v>
      </c>
      <c r="J13" s="362">
        <f t="shared" si="1"/>
        <v>3473230</v>
      </c>
    </row>
    <row r="14" spans="1:12" ht="18.75" x14ac:dyDescent="0.25">
      <c r="A14" s="773"/>
      <c r="B14" s="530" t="s">
        <v>160</v>
      </c>
      <c r="C14" s="315">
        <f>NC_VT!H7</f>
        <v>1138860</v>
      </c>
      <c r="D14" s="322"/>
      <c r="E14" s="322">
        <f>NC_VT!H19</f>
        <v>64050</v>
      </c>
      <c r="F14" s="322">
        <f>NC_VT!H23</f>
        <v>400000</v>
      </c>
      <c r="G14" s="362">
        <f t="shared" si="2"/>
        <v>1602910</v>
      </c>
      <c r="H14" s="362">
        <f t="shared" si="0"/>
        <v>240436.5</v>
      </c>
      <c r="I14" s="453">
        <v>2</v>
      </c>
      <c r="J14" s="362">
        <f t="shared" si="1"/>
        <v>3686693</v>
      </c>
    </row>
    <row r="15" spans="1:12" ht="18.75" x14ac:dyDescent="0.25">
      <c r="A15" s="773"/>
      <c r="B15" s="530" t="s">
        <v>163</v>
      </c>
      <c r="C15" s="315">
        <f>NC_VT!H7</f>
        <v>1138860</v>
      </c>
      <c r="D15" s="322"/>
      <c r="E15" s="322">
        <f>NC_VT!H20</f>
        <v>70455</v>
      </c>
      <c r="F15" s="322">
        <f>NC_VT!H23</f>
        <v>400000</v>
      </c>
      <c r="G15" s="362">
        <f t="shared" si="2"/>
        <v>1609315</v>
      </c>
      <c r="H15" s="362">
        <f t="shared" si="0"/>
        <v>241397.25</v>
      </c>
      <c r="I15" s="453">
        <v>2</v>
      </c>
      <c r="J15" s="362">
        <f t="shared" si="1"/>
        <v>3701424.5</v>
      </c>
    </row>
    <row r="16" spans="1:12" ht="18.75" x14ac:dyDescent="0.25">
      <c r="A16" s="773"/>
      <c r="B16" s="530" t="s">
        <v>162</v>
      </c>
      <c r="C16" s="315">
        <f>NC_VT!H7</f>
        <v>1138860</v>
      </c>
      <c r="D16" s="322"/>
      <c r="E16" s="322">
        <f>NC_VT!H21</f>
        <v>83265</v>
      </c>
      <c r="F16" s="322">
        <f>NC_VT!H23</f>
        <v>400000</v>
      </c>
      <c r="G16" s="362">
        <f t="shared" si="2"/>
        <v>1622125</v>
      </c>
      <c r="H16" s="362">
        <f t="shared" si="0"/>
        <v>243318.75</v>
      </c>
      <c r="I16" s="453">
        <v>2</v>
      </c>
      <c r="J16" s="362">
        <f t="shared" si="1"/>
        <v>3730887.5</v>
      </c>
    </row>
    <row r="17" spans="1:13" ht="55.5" customHeight="1" x14ac:dyDescent="0.25">
      <c r="A17" s="531" t="s">
        <v>195</v>
      </c>
      <c r="B17" s="528" t="s">
        <v>40</v>
      </c>
      <c r="C17" s="363">
        <f>NC_VT!H25</f>
        <v>3416580</v>
      </c>
      <c r="D17" s="362">
        <f>NC_VT!H26</f>
        <v>204500</v>
      </c>
      <c r="E17" s="362"/>
      <c r="F17" s="362"/>
      <c r="G17" s="362">
        <f t="shared" si="2"/>
        <v>3621080</v>
      </c>
      <c r="H17" s="362">
        <f t="shared" si="0"/>
        <v>543162</v>
      </c>
      <c r="I17" s="453">
        <v>2</v>
      </c>
      <c r="J17" s="362">
        <f t="shared" si="1"/>
        <v>8328484</v>
      </c>
    </row>
    <row r="18" spans="1:13" ht="51" customHeight="1" x14ac:dyDescent="0.25">
      <c r="A18" s="531" t="s">
        <v>196</v>
      </c>
      <c r="B18" s="528" t="s">
        <v>41</v>
      </c>
      <c r="C18" s="363">
        <f>NC_VT!H31</f>
        <v>5124870</v>
      </c>
      <c r="D18" s="362">
        <f>NC_VT!H32</f>
        <v>549500</v>
      </c>
      <c r="E18" s="362"/>
      <c r="F18" s="362"/>
      <c r="G18" s="362">
        <f t="shared" si="2"/>
        <v>5674370</v>
      </c>
      <c r="H18" s="362">
        <f t="shared" si="0"/>
        <v>851155.5</v>
      </c>
      <c r="I18" s="453">
        <v>2</v>
      </c>
      <c r="J18" s="362">
        <f t="shared" si="1"/>
        <v>13051051</v>
      </c>
    </row>
    <row r="19" spans="1:13" ht="33" x14ac:dyDescent="0.25">
      <c r="A19" s="532" t="s">
        <v>197</v>
      </c>
      <c r="B19" s="528" t="s">
        <v>42</v>
      </c>
      <c r="C19" s="363">
        <f>NC_VT!H37</f>
        <v>3416580</v>
      </c>
      <c r="D19" s="362">
        <f>NC_VT!H32</f>
        <v>549500</v>
      </c>
      <c r="E19" s="362"/>
      <c r="F19" s="362"/>
      <c r="G19" s="362">
        <f t="shared" si="2"/>
        <v>3966080</v>
      </c>
      <c r="H19" s="362">
        <f t="shared" si="0"/>
        <v>594912</v>
      </c>
      <c r="I19" s="453">
        <v>2</v>
      </c>
      <c r="J19" s="362">
        <f t="shared" si="1"/>
        <v>9121984</v>
      </c>
    </row>
    <row r="20" spans="1:13" ht="33" x14ac:dyDescent="0.25">
      <c r="A20" s="532">
        <v>2</v>
      </c>
      <c r="B20" s="528" t="s">
        <v>43</v>
      </c>
      <c r="C20" s="363">
        <f>NC_VT!H41</f>
        <v>597645</v>
      </c>
      <c r="D20" s="362">
        <f>NC_VT!H42</f>
        <v>192500</v>
      </c>
      <c r="E20" s="362"/>
      <c r="F20" s="362"/>
      <c r="G20" s="362">
        <f t="shared" si="2"/>
        <v>790145</v>
      </c>
      <c r="H20" s="362">
        <f t="shared" si="0"/>
        <v>118521.75</v>
      </c>
      <c r="I20" s="453"/>
      <c r="J20" s="362">
        <f>G20+H20</f>
        <v>908666.75</v>
      </c>
    </row>
    <row r="21" spans="1:13" ht="33" x14ac:dyDescent="0.25">
      <c r="A21" s="533" t="s">
        <v>144</v>
      </c>
      <c r="B21" s="534" t="s">
        <v>199</v>
      </c>
      <c r="C21" s="363"/>
      <c r="D21" s="363"/>
      <c r="E21" s="362"/>
      <c r="F21" s="362"/>
      <c r="G21" s="362"/>
      <c r="H21" s="362"/>
      <c r="I21" s="453"/>
      <c r="J21" s="362"/>
    </row>
    <row r="22" spans="1:13" ht="33" x14ac:dyDescent="0.25">
      <c r="A22" s="533">
        <v>1</v>
      </c>
      <c r="B22" s="543" t="s">
        <v>146</v>
      </c>
      <c r="C22" s="363"/>
      <c r="D22" s="363"/>
      <c r="E22" s="362"/>
      <c r="F22" s="362"/>
      <c r="G22" s="362"/>
      <c r="H22" s="362"/>
      <c r="I22" s="453"/>
      <c r="J22" s="362"/>
    </row>
    <row r="23" spans="1:13" ht="33" x14ac:dyDescent="0.25">
      <c r="A23" s="536" t="s">
        <v>194</v>
      </c>
      <c r="B23" s="528" t="s">
        <v>72</v>
      </c>
      <c r="C23" s="363"/>
      <c r="D23" s="363"/>
      <c r="E23" s="362"/>
      <c r="F23" s="362"/>
      <c r="G23" s="362"/>
      <c r="H23" s="362"/>
      <c r="I23" s="453"/>
      <c r="J23" s="362"/>
      <c r="M23" s="391"/>
    </row>
    <row r="24" spans="1:13" ht="72" customHeight="1" x14ac:dyDescent="0.25">
      <c r="A24" s="536" t="s">
        <v>225</v>
      </c>
      <c r="B24" s="528" t="s">
        <v>214</v>
      </c>
      <c r="C24" s="363">
        <f>NC_VT!H48</f>
        <v>2706075</v>
      </c>
      <c r="D24" s="362">
        <f>NC_VT!H49</f>
        <v>295000</v>
      </c>
      <c r="E24" s="364"/>
      <c r="F24" s="364"/>
      <c r="G24" s="362">
        <f t="shared" ref="G24:G35" si="3">SUM(C24:F24)</f>
        <v>3001075</v>
      </c>
      <c r="H24" s="362">
        <f t="shared" ref="H24:H35" si="4">G24*15%</f>
        <v>450161.25</v>
      </c>
      <c r="I24" s="548">
        <v>2</v>
      </c>
      <c r="J24" s="549">
        <f>(G24+H24)*I24</f>
        <v>6902472.5</v>
      </c>
    </row>
    <row r="25" spans="1:13" ht="75.75" customHeight="1" x14ac:dyDescent="0.25">
      <c r="A25" s="536" t="s">
        <v>226</v>
      </c>
      <c r="B25" s="528" t="s">
        <v>200</v>
      </c>
      <c r="C25" s="363">
        <f>NC_VT!H53</f>
        <v>569430</v>
      </c>
      <c r="D25" s="362">
        <f>NC_VT!H54</f>
        <v>192500</v>
      </c>
      <c r="E25" s="364"/>
      <c r="F25" s="364"/>
      <c r="G25" s="362">
        <f t="shared" si="3"/>
        <v>761930</v>
      </c>
      <c r="H25" s="362">
        <f t="shared" si="4"/>
        <v>114289.5</v>
      </c>
      <c r="I25" s="453"/>
      <c r="J25" s="362">
        <f>G25+H25</f>
        <v>876219.5</v>
      </c>
    </row>
    <row r="26" spans="1:13" ht="138" customHeight="1" x14ac:dyDescent="0.25">
      <c r="A26" s="536" t="s">
        <v>195</v>
      </c>
      <c r="B26" s="528" t="s">
        <v>201</v>
      </c>
      <c r="C26" s="363">
        <f>NC_VT!H57</f>
        <v>1138860</v>
      </c>
      <c r="D26" s="362">
        <f>NC_VT!H58</f>
        <v>75500</v>
      </c>
      <c r="E26" s="364"/>
      <c r="F26" s="364"/>
      <c r="G26" s="362">
        <f t="shared" si="3"/>
        <v>1214360</v>
      </c>
      <c r="H26" s="362">
        <f t="shared" si="4"/>
        <v>182154</v>
      </c>
      <c r="I26" s="453"/>
      <c r="J26" s="362">
        <f>G26+H26</f>
        <v>1396514</v>
      </c>
    </row>
    <row r="27" spans="1:13" ht="75.75" customHeight="1" x14ac:dyDescent="0.25">
      <c r="A27" s="536" t="s">
        <v>196</v>
      </c>
      <c r="B27" s="529" t="s">
        <v>248</v>
      </c>
      <c r="C27" s="363">
        <f>NC_VT!H61</f>
        <v>3416580</v>
      </c>
      <c r="D27" s="362">
        <f>NC_VT!H62</f>
        <v>290000</v>
      </c>
      <c r="E27" s="364"/>
      <c r="F27" s="364"/>
      <c r="G27" s="362">
        <f t="shared" si="3"/>
        <v>3706580</v>
      </c>
      <c r="H27" s="362">
        <f t="shared" si="4"/>
        <v>555987</v>
      </c>
      <c r="I27" s="453"/>
      <c r="J27" s="362">
        <f>G27+H27</f>
        <v>4262567</v>
      </c>
    </row>
    <row r="28" spans="1:13" ht="85.5" customHeight="1" x14ac:dyDescent="0.25">
      <c r="A28" s="536" t="s">
        <v>197</v>
      </c>
      <c r="B28" s="339" t="s">
        <v>49</v>
      </c>
      <c r="C28" s="363"/>
      <c r="D28" s="364"/>
      <c r="E28" s="364"/>
      <c r="F28" s="364"/>
      <c r="G28" s="362"/>
      <c r="H28" s="362"/>
      <c r="I28" s="453"/>
      <c r="J28" s="362"/>
    </row>
    <row r="29" spans="1:13" ht="71.25" customHeight="1" x14ac:dyDescent="0.25">
      <c r="A29" s="536" t="s">
        <v>227</v>
      </c>
      <c r="B29" s="528" t="s">
        <v>50</v>
      </c>
      <c r="C29" s="363">
        <f>NC_VT!H67</f>
        <v>5124870</v>
      </c>
      <c r="D29" s="362">
        <f>NC_VT!H68</f>
        <v>502500</v>
      </c>
      <c r="E29" s="364"/>
      <c r="F29" s="364"/>
      <c r="G29" s="362">
        <f t="shared" si="3"/>
        <v>5627370</v>
      </c>
      <c r="H29" s="362">
        <f t="shared" si="4"/>
        <v>844105.5</v>
      </c>
      <c r="I29" s="453">
        <v>2</v>
      </c>
      <c r="J29" s="362">
        <f>(G29+H29)*I29</f>
        <v>12942951</v>
      </c>
    </row>
    <row r="30" spans="1:13" ht="52.5" customHeight="1" x14ac:dyDescent="0.25">
      <c r="A30" s="536" t="s">
        <v>228</v>
      </c>
      <c r="B30" s="538" t="s">
        <v>51</v>
      </c>
      <c r="C30" s="363">
        <f>NC_VT!H72</f>
        <v>4270725</v>
      </c>
      <c r="D30" s="362">
        <f>NC_VT!H73</f>
        <v>212500</v>
      </c>
      <c r="E30" s="364"/>
      <c r="F30" s="364"/>
      <c r="G30" s="362">
        <f t="shared" si="3"/>
        <v>4483225</v>
      </c>
      <c r="H30" s="362">
        <f t="shared" si="4"/>
        <v>672483.75</v>
      </c>
      <c r="I30" s="453">
        <v>2</v>
      </c>
      <c r="J30" s="362">
        <f>(G30+H30)*I30</f>
        <v>10311417.5</v>
      </c>
    </row>
    <row r="31" spans="1:13" ht="51.75" customHeight="1" x14ac:dyDescent="0.25">
      <c r="A31" s="536" t="s">
        <v>229</v>
      </c>
      <c r="B31" s="528" t="s">
        <v>52</v>
      </c>
      <c r="C31" s="363">
        <f>NC_VT!H77</f>
        <v>597645</v>
      </c>
      <c r="D31" s="362">
        <f>NC_VT!H78</f>
        <v>100000</v>
      </c>
      <c r="E31" s="364"/>
      <c r="F31" s="364"/>
      <c r="G31" s="362">
        <f t="shared" si="3"/>
        <v>697645</v>
      </c>
      <c r="H31" s="362">
        <f t="shared" si="4"/>
        <v>104646.75</v>
      </c>
      <c r="I31" s="453">
        <v>2</v>
      </c>
      <c r="J31" s="362">
        <f>(G31+H31)*I31</f>
        <v>1604583.5</v>
      </c>
    </row>
    <row r="32" spans="1:13" ht="54.75" customHeight="1" x14ac:dyDescent="0.25">
      <c r="A32" s="536" t="s">
        <v>230</v>
      </c>
      <c r="B32" s="528" t="s">
        <v>53</v>
      </c>
      <c r="C32" s="363">
        <f>NC_VT!H81</f>
        <v>1764720</v>
      </c>
      <c r="D32" s="362">
        <f>NC_VT!H82</f>
        <v>295000</v>
      </c>
      <c r="E32" s="364"/>
      <c r="F32" s="364"/>
      <c r="G32" s="362">
        <f t="shared" si="3"/>
        <v>2059720</v>
      </c>
      <c r="H32" s="362">
        <f t="shared" si="4"/>
        <v>308958</v>
      </c>
      <c r="I32" s="453">
        <v>2</v>
      </c>
      <c r="J32" s="362">
        <f>(G32+H32)*I32</f>
        <v>4737356</v>
      </c>
    </row>
    <row r="33" spans="1:10" ht="237" customHeight="1" x14ac:dyDescent="0.25">
      <c r="A33" s="536" t="s">
        <v>198</v>
      </c>
      <c r="B33" s="339" t="s">
        <v>54</v>
      </c>
      <c r="C33" s="363"/>
      <c r="D33" s="364"/>
      <c r="E33" s="364"/>
      <c r="F33" s="364"/>
      <c r="G33" s="362"/>
      <c r="H33" s="362"/>
      <c r="I33" s="453"/>
      <c r="J33" s="362"/>
    </row>
    <row r="34" spans="1:10" ht="151.5" customHeight="1" x14ac:dyDescent="0.25">
      <c r="A34" s="536" t="s">
        <v>231</v>
      </c>
      <c r="B34" s="528" t="s">
        <v>202</v>
      </c>
      <c r="C34" s="363">
        <f>NC_VT!H87</f>
        <v>3416580</v>
      </c>
      <c r="D34" s="362">
        <f>NC_VT!H93</f>
        <v>202500</v>
      </c>
      <c r="E34" s="364"/>
      <c r="F34" s="364"/>
      <c r="G34" s="362">
        <f t="shared" si="3"/>
        <v>3619080</v>
      </c>
      <c r="H34" s="362">
        <f t="shared" si="4"/>
        <v>542862</v>
      </c>
      <c r="I34" s="453">
        <v>2</v>
      </c>
      <c r="J34" s="362">
        <f>(G34+H34)*I34</f>
        <v>8323884</v>
      </c>
    </row>
    <row r="35" spans="1:10" ht="33" x14ac:dyDescent="0.25">
      <c r="A35" s="539" t="s">
        <v>232</v>
      </c>
      <c r="B35" s="540" t="s">
        <v>67</v>
      </c>
      <c r="C35" s="363">
        <f>NC_VT!H92</f>
        <v>4555440</v>
      </c>
      <c r="D35" s="362">
        <f>NC_VT!H93</f>
        <v>202500</v>
      </c>
      <c r="E35" s="364"/>
      <c r="F35" s="364"/>
      <c r="G35" s="362">
        <f t="shared" si="3"/>
        <v>4757940</v>
      </c>
      <c r="H35" s="362">
        <f t="shared" si="4"/>
        <v>713691</v>
      </c>
      <c r="I35" s="453">
        <v>2</v>
      </c>
      <c r="J35" s="362">
        <f>(G35+H35)*I35</f>
        <v>10943262</v>
      </c>
    </row>
    <row r="36" spans="1:10" ht="33" x14ac:dyDescent="0.25">
      <c r="A36" s="774" t="s">
        <v>234</v>
      </c>
      <c r="B36" s="540" t="s">
        <v>133</v>
      </c>
      <c r="C36" s="451"/>
      <c r="D36" s="452"/>
      <c r="E36" s="452"/>
      <c r="F36" s="364"/>
      <c r="G36" s="365"/>
      <c r="H36" s="365"/>
      <c r="I36" s="449"/>
      <c r="J36" s="366"/>
    </row>
    <row r="37" spans="1:10" ht="18.75" x14ac:dyDescent="0.25">
      <c r="A37" s="775"/>
      <c r="B37" s="530" t="s">
        <v>154</v>
      </c>
      <c r="C37" s="363">
        <f>NC_VT!H97</f>
        <v>854145</v>
      </c>
      <c r="D37" s="364"/>
      <c r="E37" s="362">
        <f>NC_VT!H99</f>
        <v>0</v>
      </c>
      <c r="F37" s="364"/>
      <c r="G37" s="362">
        <f t="shared" ref="G37:G50" si="5">SUM(C37:F37)</f>
        <v>854145</v>
      </c>
      <c r="H37" s="362">
        <f t="shared" ref="H37:H50" si="6">G37*15%</f>
        <v>128121.75</v>
      </c>
      <c r="I37" s="453">
        <v>2</v>
      </c>
      <c r="J37" s="362">
        <f t="shared" ref="J37:J45" si="7">(G37+H37)*I37</f>
        <v>1964533.5</v>
      </c>
    </row>
    <row r="38" spans="1:10" ht="18.75" x14ac:dyDescent="0.25">
      <c r="A38" s="775"/>
      <c r="B38" s="530" t="s">
        <v>155</v>
      </c>
      <c r="C38" s="363">
        <f>NC_VT!H97</f>
        <v>854145</v>
      </c>
      <c r="D38" s="364"/>
      <c r="E38" s="362">
        <f>NC_VT!H100</f>
        <v>21350</v>
      </c>
      <c r="F38" s="362">
        <f>NC_VT!H110</f>
        <v>240000</v>
      </c>
      <c r="G38" s="362">
        <f t="shared" si="5"/>
        <v>1115495</v>
      </c>
      <c r="H38" s="362">
        <f t="shared" si="6"/>
        <v>167324.25</v>
      </c>
      <c r="I38" s="453">
        <v>2</v>
      </c>
      <c r="J38" s="362">
        <f t="shared" si="7"/>
        <v>2565638.5</v>
      </c>
    </row>
    <row r="39" spans="1:10" ht="18.75" x14ac:dyDescent="0.25">
      <c r="A39" s="775"/>
      <c r="B39" s="530" t="s">
        <v>156</v>
      </c>
      <c r="C39" s="363">
        <f>NC_VT!H97</f>
        <v>854145</v>
      </c>
      <c r="D39" s="364"/>
      <c r="E39" s="362">
        <f>NC_VT!H101</f>
        <v>29890</v>
      </c>
      <c r="F39" s="362">
        <v>80000</v>
      </c>
      <c r="G39" s="362">
        <f t="shared" si="5"/>
        <v>964035</v>
      </c>
      <c r="H39" s="362">
        <f t="shared" si="6"/>
        <v>144605.25</v>
      </c>
      <c r="I39" s="453">
        <v>2</v>
      </c>
      <c r="J39" s="362">
        <f t="shared" si="7"/>
        <v>2217280.5</v>
      </c>
    </row>
    <row r="40" spans="1:10" ht="18.75" x14ac:dyDescent="0.25">
      <c r="A40" s="775"/>
      <c r="B40" s="530" t="s">
        <v>157</v>
      </c>
      <c r="C40" s="363">
        <f>NC_VT!H97</f>
        <v>854145</v>
      </c>
      <c r="D40" s="364"/>
      <c r="E40" s="362">
        <f>NC_VT!H102</f>
        <v>40565</v>
      </c>
      <c r="F40" s="362">
        <v>80000</v>
      </c>
      <c r="G40" s="362">
        <f t="shared" si="5"/>
        <v>974710</v>
      </c>
      <c r="H40" s="362">
        <f t="shared" si="6"/>
        <v>146206.5</v>
      </c>
      <c r="I40" s="453">
        <v>2</v>
      </c>
      <c r="J40" s="362">
        <f t="shared" si="7"/>
        <v>2241833</v>
      </c>
    </row>
    <row r="41" spans="1:10" ht="18.75" x14ac:dyDescent="0.25">
      <c r="A41" s="775"/>
      <c r="B41" s="530" t="s">
        <v>158</v>
      </c>
      <c r="C41" s="363">
        <f>NC_VT!H97</f>
        <v>854145</v>
      </c>
      <c r="D41" s="364"/>
      <c r="E41" s="362">
        <f>NC_VT!H103</f>
        <v>42700</v>
      </c>
      <c r="F41" s="362">
        <v>80000</v>
      </c>
      <c r="G41" s="362">
        <f t="shared" si="5"/>
        <v>976845</v>
      </c>
      <c r="H41" s="362">
        <f t="shared" si="6"/>
        <v>146526.75</v>
      </c>
      <c r="I41" s="453">
        <v>2</v>
      </c>
      <c r="J41" s="362">
        <f t="shared" si="7"/>
        <v>2246743.5</v>
      </c>
    </row>
    <row r="42" spans="1:10" ht="18.75" x14ac:dyDescent="0.25">
      <c r="A42" s="775"/>
      <c r="B42" s="530" t="s">
        <v>164</v>
      </c>
      <c r="C42" s="363">
        <f>NC_VT!H97</f>
        <v>854145</v>
      </c>
      <c r="D42" s="364"/>
      <c r="E42" s="362">
        <f>NC_VT!H104</f>
        <v>51240</v>
      </c>
      <c r="F42" s="362">
        <v>80000</v>
      </c>
      <c r="G42" s="362">
        <f t="shared" si="5"/>
        <v>985385</v>
      </c>
      <c r="H42" s="362">
        <f t="shared" si="6"/>
        <v>147807.75</v>
      </c>
      <c r="I42" s="453">
        <v>2</v>
      </c>
      <c r="J42" s="362">
        <f t="shared" si="7"/>
        <v>2266385.5</v>
      </c>
    </row>
    <row r="43" spans="1:10" ht="18.75" x14ac:dyDescent="0.25">
      <c r="A43" s="775"/>
      <c r="B43" s="530" t="s">
        <v>160</v>
      </c>
      <c r="C43" s="363">
        <f>NC_VT!H97</f>
        <v>854145</v>
      </c>
      <c r="D43" s="364"/>
      <c r="E43" s="362">
        <f>NC_VT!H105</f>
        <v>64050</v>
      </c>
      <c r="F43" s="362">
        <v>100000</v>
      </c>
      <c r="G43" s="362">
        <f t="shared" si="5"/>
        <v>1018195</v>
      </c>
      <c r="H43" s="362">
        <f t="shared" si="6"/>
        <v>152729.25</v>
      </c>
      <c r="I43" s="453">
        <v>2</v>
      </c>
      <c r="J43" s="362">
        <f t="shared" si="7"/>
        <v>2341848.5</v>
      </c>
    </row>
    <row r="44" spans="1:10" ht="18.75" x14ac:dyDescent="0.25">
      <c r="A44" s="775"/>
      <c r="B44" s="530" t="s">
        <v>163</v>
      </c>
      <c r="C44" s="363">
        <f>NC_VT!H97</f>
        <v>854145</v>
      </c>
      <c r="D44" s="364"/>
      <c r="E44" s="362">
        <f>NC_VT!H106</f>
        <v>70455</v>
      </c>
      <c r="F44" s="362">
        <v>100000</v>
      </c>
      <c r="G44" s="362">
        <f t="shared" si="5"/>
        <v>1024600</v>
      </c>
      <c r="H44" s="362">
        <f t="shared" si="6"/>
        <v>153690</v>
      </c>
      <c r="I44" s="453">
        <v>2</v>
      </c>
      <c r="J44" s="362">
        <f t="shared" si="7"/>
        <v>2356580</v>
      </c>
    </row>
    <row r="45" spans="1:10" ht="18.75" x14ac:dyDescent="0.25">
      <c r="A45" s="775"/>
      <c r="B45" s="530" t="s">
        <v>162</v>
      </c>
      <c r="C45" s="363">
        <f>NC_VT!H97</f>
        <v>854145</v>
      </c>
      <c r="D45" s="364"/>
      <c r="E45" s="362">
        <f>NC_VT!H107</f>
        <v>83265</v>
      </c>
      <c r="F45" s="362">
        <v>100000</v>
      </c>
      <c r="G45" s="362">
        <f t="shared" si="5"/>
        <v>1037410</v>
      </c>
      <c r="H45" s="362">
        <f t="shared" si="6"/>
        <v>155611.5</v>
      </c>
      <c r="I45" s="453">
        <v>2</v>
      </c>
      <c r="J45" s="362">
        <f t="shared" si="7"/>
        <v>2386043</v>
      </c>
    </row>
    <row r="46" spans="1:10" ht="33" x14ac:dyDescent="0.25">
      <c r="A46" s="542" t="s">
        <v>235</v>
      </c>
      <c r="B46" s="339" t="s">
        <v>130</v>
      </c>
      <c r="C46" s="363">
        <f>NC_VT!H111</f>
        <v>1708290</v>
      </c>
      <c r="D46" s="362">
        <f>NC_VT!H112</f>
        <v>192500</v>
      </c>
      <c r="E46" s="364"/>
      <c r="F46" s="364"/>
      <c r="G46" s="362">
        <f t="shared" si="5"/>
        <v>1900790</v>
      </c>
      <c r="H46" s="362">
        <f t="shared" si="6"/>
        <v>285118.5</v>
      </c>
      <c r="I46" s="453"/>
      <c r="J46" s="362">
        <f t="shared" ref="J46:J60" si="8">G46+H46</f>
        <v>2185908.5</v>
      </c>
    </row>
    <row r="47" spans="1:10" ht="82.5" x14ac:dyDescent="0.25">
      <c r="A47" s="542" t="s">
        <v>204</v>
      </c>
      <c r="B47" s="339" t="s">
        <v>73</v>
      </c>
      <c r="C47" s="363">
        <f>NC_VT!H115</f>
        <v>1708290</v>
      </c>
      <c r="D47" s="362">
        <f>NC_VT!H116</f>
        <v>200000</v>
      </c>
      <c r="E47" s="364"/>
      <c r="F47" s="364"/>
      <c r="G47" s="362">
        <f t="shared" si="5"/>
        <v>1908290</v>
      </c>
      <c r="H47" s="362">
        <f t="shared" si="6"/>
        <v>286243.5</v>
      </c>
      <c r="I47" s="453"/>
      <c r="J47" s="362">
        <f t="shared" si="8"/>
        <v>2194533.5</v>
      </c>
    </row>
    <row r="48" spans="1:10" ht="66" x14ac:dyDescent="0.25">
      <c r="A48" s="536" t="s">
        <v>205</v>
      </c>
      <c r="B48" s="528" t="s">
        <v>74</v>
      </c>
      <c r="C48" s="363">
        <f>NC_VT!H119</f>
        <v>1792935</v>
      </c>
      <c r="D48" s="362">
        <f>NC_VT!H120</f>
        <v>192500</v>
      </c>
      <c r="E48" s="364"/>
      <c r="F48" s="364"/>
      <c r="G48" s="362">
        <f t="shared" si="5"/>
        <v>1985435</v>
      </c>
      <c r="H48" s="362">
        <f t="shared" si="6"/>
        <v>297815.25</v>
      </c>
      <c r="I48" s="453"/>
      <c r="J48" s="362">
        <f t="shared" si="8"/>
        <v>2283250.25</v>
      </c>
    </row>
    <row r="49" spans="1:13" ht="33" x14ac:dyDescent="0.25">
      <c r="A49" s="536" t="s">
        <v>206</v>
      </c>
      <c r="B49" s="528" t="s">
        <v>55</v>
      </c>
      <c r="C49" s="363">
        <f>NC_VT!H123</f>
        <v>882360</v>
      </c>
      <c r="D49" s="362">
        <f>NC_VT!H124</f>
        <v>83000</v>
      </c>
      <c r="E49" s="364"/>
      <c r="F49" s="364"/>
      <c r="G49" s="362">
        <f t="shared" si="5"/>
        <v>965360</v>
      </c>
      <c r="H49" s="362">
        <f t="shared" si="6"/>
        <v>144804</v>
      </c>
      <c r="I49" s="453"/>
      <c r="J49" s="362">
        <f t="shared" si="8"/>
        <v>1110164</v>
      </c>
    </row>
    <row r="50" spans="1:13" ht="66" x14ac:dyDescent="0.25">
      <c r="A50" s="536" t="s">
        <v>207</v>
      </c>
      <c r="B50" s="339" t="s">
        <v>75</v>
      </c>
      <c r="C50" s="363">
        <f>NC_VT!H127</f>
        <v>284715</v>
      </c>
      <c r="D50" s="364"/>
      <c r="E50" s="364"/>
      <c r="F50" s="364"/>
      <c r="G50" s="362">
        <f t="shared" si="5"/>
        <v>284715</v>
      </c>
      <c r="H50" s="362">
        <f t="shared" si="6"/>
        <v>42707.25</v>
      </c>
      <c r="I50" s="453"/>
      <c r="J50" s="362">
        <f t="shared" si="8"/>
        <v>327422.25</v>
      </c>
      <c r="K50" s="724" t="s">
        <v>258</v>
      </c>
      <c r="L50" s="725"/>
    </row>
    <row r="51" spans="1:13" ht="33" x14ac:dyDescent="0.25">
      <c r="A51" s="565" t="s">
        <v>262</v>
      </c>
      <c r="B51" s="448" t="str">
        <f>NC_VT!B128</f>
        <v>Giao đất trên thực địa cho người trúng đấu giá</v>
      </c>
      <c r="C51" s="566"/>
      <c r="D51" s="567"/>
      <c r="E51" s="567"/>
      <c r="F51" s="567"/>
      <c r="G51" s="549"/>
      <c r="H51" s="549"/>
      <c r="I51" s="549"/>
      <c r="J51" s="362"/>
      <c r="K51" s="545"/>
      <c r="L51" s="556"/>
    </row>
    <row r="52" spans="1:13" ht="18.75" x14ac:dyDescent="0.25">
      <c r="A52" s="565"/>
      <c r="B52" s="568" t="s">
        <v>154</v>
      </c>
      <c r="C52" s="566">
        <f>NC_VT!H128</f>
        <v>597645</v>
      </c>
      <c r="D52" s="567"/>
      <c r="E52" s="549">
        <f>NC_VT!H130</f>
        <v>0</v>
      </c>
      <c r="F52" s="567"/>
      <c r="G52" s="362">
        <f t="shared" ref="G52:G60" si="9">SUM(C52:F52)</f>
        <v>597645</v>
      </c>
      <c r="H52" s="362">
        <f t="shared" ref="H52:H60" si="10">G52*15%</f>
        <v>89646.75</v>
      </c>
      <c r="I52" s="549"/>
      <c r="J52" s="362">
        <f t="shared" si="8"/>
        <v>687291.75</v>
      </c>
      <c r="K52" s="571"/>
      <c r="L52" s="556"/>
    </row>
    <row r="53" spans="1:13" ht="18.75" x14ac:dyDescent="0.25">
      <c r="A53" s="565"/>
      <c r="B53" s="568" t="s">
        <v>155</v>
      </c>
      <c r="C53" s="566">
        <f>NC_VT!H128</f>
        <v>597645</v>
      </c>
      <c r="D53" s="567"/>
      <c r="E53" s="549">
        <f>NC_VT!H131</f>
        <v>21350</v>
      </c>
      <c r="F53" s="549">
        <f>NC_VT!H141</f>
        <v>160000</v>
      </c>
      <c r="G53" s="362">
        <f t="shared" si="9"/>
        <v>778995</v>
      </c>
      <c r="H53" s="362">
        <f t="shared" si="10"/>
        <v>116849.25</v>
      </c>
      <c r="I53" s="549"/>
      <c r="J53" s="362">
        <f t="shared" si="8"/>
        <v>895844.25</v>
      </c>
      <c r="K53" s="571"/>
      <c r="L53" s="556"/>
    </row>
    <row r="54" spans="1:13" ht="18.75" x14ac:dyDescent="0.25">
      <c r="A54" s="565"/>
      <c r="B54" s="568" t="s">
        <v>156</v>
      </c>
      <c r="C54" s="566">
        <f>NC_VT!H128</f>
        <v>597645</v>
      </c>
      <c r="D54" s="567"/>
      <c r="E54" s="549">
        <f>NC_VT!H132</f>
        <v>29890</v>
      </c>
      <c r="F54" s="549">
        <f>NC_VT!H141</f>
        <v>160000</v>
      </c>
      <c r="G54" s="362">
        <f t="shared" si="9"/>
        <v>787535</v>
      </c>
      <c r="H54" s="362">
        <f t="shared" si="10"/>
        <v>118130.25</v>
      </c>
      <c r="I54" s="549"/>
      <c r="J54" s="362">
        <f t="shared" si="8"/>
        <v>905665.25</v>
      </c>
      <c r="K54" s="571"/>
      <c r="L54" s="556"/>
    </row>
    <row r="55" spans="1:13" ht="18.75" x14ac:dyDescent="0.25">
      <c r="A55" s="565"/>
      <c r="B55" s="568" t="s">
        <v>157</v>
      </c>
      <c r="C55" s="566">
        <f>NC_VT!H128</f>
        <v>597645</v>
      </c>
      <c r="D55" s="567"/>
      <c r="E55" s="549">
        <f>NC_VT!H133</f>
        <v>40565</v>
      </c>
      <c r="F55" s="549">
        <f>NC_VT!H141</f>
        <v>160000</v>
      </c>
      <c r="G55" s="362">
        <f t="shared" si="9"/>
        <v>798210</v>
      </c>
      <c r="H55" s="362">
        <f t="shared" si="10"/>
        <v>119731.5</v>
      </c>
      <c r="I55" s="549"/>
      <c r="J55" s="362">
        <f t="shared" si="8"/>
        <v>917941.5</v>
      </c>
      <c r="K55" s="571"/>
      <c r="L55" s="556"/>
    </row>
    <row r="56" spans="1:13" ht="18.75" x14ac:dyDescent="0.25">
      <c r="A56" s="565"/>
      <c r="B56" s="568" t="s">
        <v>158</v>
      </c>
      <c r="C56" s="566">
        <f>NC_VT!H128</f>
        <v>597645</v>
      </c>
      <c r="D56" s="567"/>
      <c r="E56" s="549">
        <f>NC_VT!H134</f>
        <v>42700</v>
      </c>
      <c r="F56" s="549">
        <f>NC_VT!H141</f>
        <v>160000</v>
      </c>
      <c r="G56" s="362">
        <f t="shared" si="9"/>
        <v>800345</v>
      </c>
      <c r="H56" s="362">
        <f t="shared" si="10"/>
        <v>120051.75</v>
      </c>
      <c r="I56" s="549"/>
      <c r="J56" s="362">
        <f t="shared" si="8"/>
        <v>920396.75</v>
      </c>
      <c r="K56" s="571"/>
      <c r="L56" s="556"/>
    </row>
    <row r="57" spans="1:13" ht="18.75" x14ac:dyDescent="0.25">
      <c r="A57" s="565"/>
      <c r="B57" s="568" t="s">
        <v>164</v>
      </c>
      <c r="C57" s="566">
        <f>NC_VT!H128</f>
        <v>597645</v>
      </c>
      <c r="D57" s="567"/>
      <c r="E57" s="549">
        <f>NC_VT!H135</f>
        <v>51240</v>
      </c>
      <c r="F57" s="549">
        <f>NC_VT!H141</f>
        <v>160000</v>
      </c>
      <c r="G57" s="362">
        <f t="shared" si="9"/>
        <v>808885</v>
      </c>
      <c r="H57" s="362">
        <f t="shared" si="10"/>
        <v>121332.75</v>
      </c>
      <c r="I57" s="549"/>
      <c r="J57" s="362">
        <f t="shared" si="8"/>
        <v>930217.75</v>
      </c>
      <c r="K57" s="571"/>
      <c r="L57" s="556"/>
    </row>
    <row r="58" spans="1:13" ht="18.75" x14ac:dyDescent="0.25">
      <c r="A58" s="565"/>
      <c r="B58" s="568" t="s">
        <v>160</v>
      </c>
      <c r="C58" s="566">
        <f>NC_VT!H128</f>
        <v>597645</v>
      </c>
      <c r="D58" s="567"/>
      <c r="E58" s="549">
        <f>NC_VT!H136</f>
        <v>64050</v>
      </c>
      <c r="F58" s="549">
        <f>NC_VT!H140</f>
        <v>200000</v>
      </c>
      <c r="G58" s="362">
        <f t="shared" si="9"/>
        <v>861695</v>
      </c>
      <c r="H58" s="362">
        <f t="shared" si="10"/>
        <v>129254.25</v>
      </c>
      <c r="I58" s="549"/>
      <c r="J58" s="362">
        <f t="shared" si="8"/>
        <v>990949.25</v>
      </c>
      <c r="K58" s="571"/>
      <c r="L58" s="556"/>
    </row>
    <row r="59" spans="1:13" ht="18.75" x14ac:dyDescent="0.25">
      <c r="A59" s="565"/>
      <c r="B59" s="568" t="s">
        <v>163</v>
      </c>
      <c r="C59" s="566">
        <f>NC_VT!H128</f>
        <v>597645</v>
      </c>
      <c r="D59" s="567"/>
      <c r="E59" s="549">
        <f>NC_VT!H137</f>
        <v>70455</v>
      </c>
      <c r="F59" s="549">
        <f>NC_VT!H140</f>
        <v>200000</v>
      </c>
      <c r="G59" s="362">
        <f t="shared" si="9"/>
        <v>868100</v>
      </c>
      <c r="H59" s="362">
        <f t="shared" si="10"/>
        <v>130215</v>
      </c>
      <c r="I59" s="549"/>
      <c r="J59" s="362">
        <f t="shared" si="8"/>
        <v>998315</v>
      </c>
      <c r="K59" s="571"/>
      <c r="L59" s="556"/>
    </row>
    <row r="60" spans="1:13" ht="18.75" x14ac:dyDescent="0.25">
      <c r="A60" s="565"/>
      <c r="B60" s="568" t="s">
        <v>162</v>
      </c>
      <c r="C60" s="566">
        <f>NC_VT!H128</f>
        <v>597645</v>
      </c>
      <c r="D60" s="567"/>
      <c r="E60" s="549">
        <f>NC_VT!H138</f>
        <v>83265</v>
      </c>
      <c r="F60" s="549">
        <f>NC_VT!H140</f>
        <v>200000</v>
      </c>
      <c r="G60" s="362">
        <f t="shared" si="9"/>
        <v>880910</v>
      </c>
      <c r="H60" s="362">
        <f t="shared" si="10"/>
        <v>132136.5</v>
      </c>
      <c r="I60" s="549"/>
      <c r="J60" s="362">
        <f t="shared" si="8"/>
        <v>1013046.5</v>
      </c>
      <c r="K60" s="571"/>
      <c r="L60" s="556"/>
    </row>
    <row r="61" spans="1:13" ht="33" x14ac:dyDescent="0.25">
      <c r="A61" s="533">
        <v>2</v>
      </c>
      <c r="B61" s="535" t="s">
        <v>203</v>
      </c>
      <c r="C61" s="367"/>
      <c r="D61" s="365"/>
      <c r="E61" s="365"/>
      <c r="F61" s="365"/>
      <c r="G61" s="365"/>
      <c r="H61" s="365"/>
      <c r="I61" s="449"/>
      <c r="J61" s="366"/>
      <c r="K61" s="554" t="s">
        <v>181</v>
      </c>
      <c r="L61" s="554" t="s">
        <v>238</v>
      </c>
      <c r="M61" s="554"/>
    </row>
    <row r="62" spans="1:13" ht="33" x14ac:dyDescent="0.25">
      <c r="A62" s="536" t="s">
        <v>208</v>
      </c>
      <c r="B62" s="528" t="s">
        <v>72</v>
      </c>
      <c r="C62" s="363"/>
      <c r="D62" s="363"/>
      <c r="E62" s="362"/>
      <c r="F62" s="362"/>
      <c r="G62" s="362"/>
      <c r="H62" s="362"/>
      <c r="I62" s="453"/>
      <c r="J62" s="362"/>
      <c r="K62" s="391">
        <f>J8+J17+J18+J19+J20+J63+J64+J65+J66+J68+J69+J70+J71+J73+J74+J76+J85</f>
        <v>85619621.75</v>
      </c>
      <c r="L62" s="391">
        <f>J16+J17+J18+J19+J20+J63+J64+J65+J66+J68+J69+J70+J71+J73+J74+J84+J85</f>
        <v>87152640.75</v>
      </c>
    </row>
    <row r="63" spans="1:13" ht="70.5" customHeight="1" x14ac:dyDescent="0.25">
      <c r="A63" s="536" t="s">
        <v>215</v>
      </c>
      <c r="B63" s="528" t="s">
        <v>214</v>
      </c>
      <c r="C63" s="363">
        <v>1792024</v>
      </c>
      <c r="D63" s="362">
        <v>295000</v>
      </c>
      <c r="E63" s="364"/>
      <c r="F63" s="364"/>
      <c r="G63" s="362">
        <f>SUM(C63:F63)</f>
        <v>2087024</v>
      </c>
      <c r="H63" s="362">
        <f>G63*15%</f>
        <v>313053.59999999998</v>
      </c>
      <c r="I63" s="453">
        <v>2</v>
      </c>
      <c r="J63" s="362">
        <f>(G63+H63)*I63</f>
        <v>4800155.2</v>
      </c>
    </row>
    <row r="64" spans="1:13" ht="66" x14ac:dyDescent="0.25">
      <c r="A64" s="536" t="s">
        <v>216</v>
      </c>
      <c r="B64" s="528" t="s">
        <v>200</v>
      </c>
      <c r="C64" s="363">
        <v>471362</v>
      </c>
      <c r="D64" s="362">
        <v>192500</v>
      </c>
      <c r="E64" s="364"/>
      <c r="F64" s="364"/>
      <c r="G64" s="362">
        <f>SUM(C64:F64)</f>
        <v>663862</v>
      </c>
      <c r="H64" s="362">
        <f>G64*15%</f>
        <v>99579.3</v>
      </c>
      <c r="I64" s="453"/>
      <c r="J64" s="362">
        <f>G64+H64</f>
        <v>763441.3</v>
      </c>
    </row>
    <row r="65" spans="1:10" ht="94.5" customHeight="1" x14ac:dyDescent="0.25">
      <c r="A65" s="536" t="s">
        <v>209</v>
      </c>
      <c r="B65" s="528" t="s">
        <v>165</v>
      </c>
      <c r="C65" s="363">
        <v>942724</v>
      </c>
      <c r="D65" s="362">
        <v>75500</v>
      </c>
      <c r="E65" s="364"/>
      <c r="F65" s="364"/>
      <c r="G65" s="362">
        <f>SUM(C65:F65)</f>
        <v>1018224</v>
      </c>
      <c r="H65" s="362">
        <f>G65*15%</f>
        <v>152733.6</v>
      </c>
      <c r="I65" s="453"/>
      <c r="J65" s="362">
        <f>G65+H65</f>
        <v>1170957.6000000001</v>
      </c>
    </row>
    <row r="66" spans="1:10" ht="66" x14ac:dyDescent="0.25">
      <c r="A66" s="536" t="s">
        <v>210</v>
      </c>
      <c r="B66" s="528" t="s">
        <v>248</v>
      </c>
      <c r="C66" s="363">
        <v>2828172</v>
      </c>
      <c r="D66" s="362">
        <v>290000</v>
      </c>
      <c r="E66" s="364"/>
      <c r="F66" s="364"/>
      <c r="G66" s="362">
        <f>SUM(C66:F66)</f>
        <v>3118172</v>
      </c>
      <c r="H66" s="362">
        <f>G66*15%</f>
        <v>467725.8</v>
      </c>
      <c r="I66" s="453"/>
      <c r="J66" s="362">
        <f>G66+H66</f>
        <v>3585897.8</v>
      </c>
    </row>
    <row r="67" spans="1:10" ht="82.5" x14ac:dyDescent="0.25">
      <c r="A67" s="536" t="s">
        <v>211</v>
      </c>
      <c r="B67" s="339" t="s">
        <v>213</v>
      </c>
      <c r="C67" s="363"/>
      <c r="D67" s="364"/>
      <c r="E67" s="364"/>
      <c r="F67" s="364"/>
      <c r="G67" s="362"/>
      <c r="H67" s="362"/>
      <c r="I67" s="453"/>
      <c r="J67" s="362"/>
    </row>
    <row r="68" spans="1:10" ht="70.5" customHeight="1" x14ac:dyDescent="0.25">
      <c r="A68" s="536" t="s">
        <v>217</v>
      </c>
      <c r="B68" s="528" t="s">
        <v>50</v>
      </c>
      <c r="C68" s="363">
        <v>2828172</v>
      </c>
      <c r="D68" s="362">
        <v>502500</v>
      </c>
      <c r="E68" s="364"/>
      <c r="F68" s="364"/>
      <c r="G68" s="362">
        <f>SUM(C68:F68)</f>
        <v>3330672</v>
      </c>
      <c r="H68" s="362">
        <f>G68*15%</f>
        <v>499600.8</v>
      </c>
      <c r="I68" s="453">
        <v>2</v>
      </c>
      <c r="J68" s="362">
        <f>(G68+H68)*I68</f>
        <v>7660545.5999999996</v>
      </c>
    </row>
    <row r="69" spans="1:10" ht="49.5" x14ac:dyDescent="0.25">
      <c r="A69" s="536" t="s">
        <v>218</v>
      </c>
      <c r="B69" s="538" t="s">
        <v>51</v>
      </c>
      <c r="C69" s="363">
        <v>3535215</v>
      </c>
      <c r="D69" s="362">
        <v>212500</v>
      </c>
      <c r="E69" s="364"/>
      <c r="F69" s="364"/>
      <c r="G69" s="362">
        <f>SUM(C69:F69)</f>
        <v>3747715</v>
      </c>
      <c r="H69" s="362">
        <f>G69*15%</f>
        <v>562157.25</v>
      </c>
      <c r="I69" s="453">
        <v>2</v>
      </c>
      <c r="J69" s="362">
        <f>(G69+H69)*I69</f>
        <v>8619744.5</v>
      </c>
    </row>
    <row r="70" spans="1:10" ht="33" x14ac:dyDescent="0.25">
      <c r="A70" s="536" t="s">
        <v>219</v>
      </c>
      <c r="B70" s="528" t="s">
        <v>52</v>
      </c>
      <c r="C70" s="363">
        <v>494718</v>
      </c>
      <c r="D70" s="362">
        <v>100000</v>
      </c>
      <c r="E70" s="364"/>
      <c r="F70" s="364"/>
      <c r="G70" s="362">
        <f>SUM(C70:F70)</f>
        <v>594718</v>
      </c>
      <c r="H70" s="362">
        <f>G70*15%</f>
        <v>89207.7</v>
      </c>
      <c r="I70" s="453">
        <v>2</v>
      </c>
      <c r="J70" s="362">
        <f>(G70+H70)*I70</f>
        <v>1367851.4</v>
      </c>
    </row>
    <row r="71" spans="1:10" ht="49.5" x14ac:dyDescent="0.25">
      <c r="A71" s="536" t="s">
        <v>220</v>
      </c>
      <c r="B71" s="528" t="s">
        <v>53</v>
      </c>
      <c r="C71" s="363">
        <v>1460798</v>
      </c>
      <c r="D71" s="362">
        <v>295000</v>
      </c>
      <c r="E71" s="364"/>
      <c r="F71" s="364"/>
      <c r="G71" s="362">
        <f>SUM(C71:F71)</f>
        <v>1755798</v>
      </c>
      <c r="H71" s="362">
        <f>G71*15%</f>
        <v>263369.7</v>
      </c>
      <c r="I71" s="453">
        <v>2</v>
      </c>
      <c r="J71" s="362">
        <f>(G71+H71)*I71</f>
        <v>4038335.4</v>
      </c>
    </row>
    <row r="72" spans="1:10" ht="214.5" x14ac:dyDescent="0.25">
      <c r="A72" s="536" t="s">
        <v>212</v>
      </c>
      <c r="B72" s="339" t="s">
        <v>54</v>
      </c>
      <c r="C72" s="363"/>
      <c r="D72" s="364"/>
      <c r="E72" s="364"/>
      <c r="F72" s="364"/>
      <c r="G72" s="362"/>
      <c r="H72" s="362"/>
      <c r="I72" s="453"/>
      <c r="J72" s="362"/>
    </row>
    <row r="73" spans="1:10" ht="148.5" x14ac:dyDescent="0.25">
      <c r="A73" s="536" t="s">
        <v>221</v>
      </c>
      <c r="B73" s="528" t="s">
        <v>202</v>
      </c>
      <c r="C73" s="363">
        <v>2828172</v>
      </c>
      <c r="D73" s="362">
        <v>202500</v>
      </c>
      <c r="E73" s="364"/>
      <c r="F73" s="364"/>
      <c r="G73" s="362">
        <f>SUM(C73:F73)</f>
        <v>3030672</v>
      </c>
      <c r="H73" s="362">
        <f>G73*15%</f>
        <v>454600.8</v>
      </c>
      <c r="I73" s="453">
        <v>2</v>
      </c>
      <c r="J73" s="362">
        <f t="shared" ref="J73:J84" si="11">(G73+H73)*I73</f>
        <v>6970545.5999999996</v>
      </c>
    </row>
    <row r="74" spans="1:10" ht="33" x14ac:dyDescent="0.25">
      <c r="A74" s="536" t="s">
        <v>222</v>
      </c>
      <c r="B74" s="528" t="s">
        <v>67</v>
      </c>
      <c r="C74" s="363">
        <v>3770896</v>
      </c>
      <c r="D74" s="362">
        <v>202500</v>
      </c>
      <c r="E74" s="364"/>
      <c r="F74" s="364"/>
      <c r="G74" s="362">
        <f>SUM(C74:F74)</f>
        <v>3973396</v>
      </c>
      <c r="H74" s="362">
        <f>G74*15%</f>
        <v>596009.4</v>
      </c>
      <c r="I74" s="453">
        <v>2</v>
      </c>
      <c r="J74" s="362">
        <f t="shared" si="11"/>
        <v>9138810.8000000007</v>
      </c>
    </row>
    <row r="75" spans="1:10" ht="33" x14ac:dyDescent="0.25">
      <c r="A75" s="536" t="s">
        <v>223</v>
      </c>
      <c r="B75" s="529" t="s">
        <v>133</v>
      </c>
      <c r="C75" s="451"/>
      <c r="D75" s="452"/>
      <c r="E75" s="452"/>
      <c r="F75" s="364"/>
      <c r="G75" s="365"/>
      <c r="H75" s="365"/>
      <c r="I75" s="449"/>
      <c r="J75" s="362"/>
    </row>
    <row r="76" spans="1:10" ht="18.75" x14ac:dyDescent="0.25">
      <c r="A76" s="536"/>
      <c r="B76" s="530" t="s">
        <v>154</v>
      </c>
      <c r="C76" s="363">
        <v>707043</v>
      </c>
      <c r="D76" s="364"/>
      <c r="E76" s="362">
        <v>0</v>
      </c>
      <c r="F76" s="364"/>
      <c r="G76" s="362">
        <f t="shared" ref="G76:G85" si="12">SUM(C76:F76)</f>
        <v>707043</v>
      </c>
      <c r="H76" s="362">
        <f t="shared" ref="H76:H85" si="13">G76*15%</f>
        <v>106056.45</v>
      </c>
      <c r="I76" s="453">
        <v>2</v>
      </c>
      <c r="J76" s="362">
        <f t="shared" si="11"/>
        <v>1626198.9</v>
      </c>
    </row>
    <row r="77" spans="1:10" ht="18.75" x14ac:dyDescent="0.25">
      <c r="A77" s="536"/>
      <c r="B77" s="530" t="s">
        <v>155</v>
      </c>
      <c r="C77" s="363">
        <v>707043</v>
      </c>
      <c r="D77" s="364"/>
      <c r="E77" s="362">
        <v>21350</v>
      </c>
      <c r="F77" s="362">
        <v>80000</v>
      </c>
      <c r="G77" s="362">
        <f t="shared" si="12"/>
        <v>808393</v>
      </c>
      <c r="H77" s="362">
        <f t="shared" si="13"/>
        <v>121258.95</v>
      </c>
      <c r="I77" s="453">
        <v>2</v>
      </c>
      <c r="J77" s="362">
        <f t="shared" si="11"/>
        <v>1859303.9</v>
      </c>
    </row>
    <row r="78" spans="1:10" ht="18.75" x14ac:dyDescent="0.25">
      <c r="A78" s="536"/>
      <c r="B78" s="530" t="s">
        <v>156</v>
      </c>
      <c r="C78" s="363">
        <v>707043</v>
      </c>
      <c r="D78" s="364"/>
      <c r="E78" s="362">
        <v>29890</v>
      </c>
      <c r="F78" s="362">
        <v>80000</v>
      </c>
      <c r="G78" s="362">
        <f t="shared" si="12"/>
        <v>816933</v>
      </c>
      <c r="H78" s="362">
        <f t="shared" si="13"/>
        <v>122539.95</v>
      </c>
      <c r="I78" s="453">
        <v>2</v>
      </c>
      <c r="J78" s="362">
        <f t="shared" si="11"/>
        <v>1878945.9</v>
      </c>
    </row>
    <row r="79" spans="1:10" ht="18.75" x14ac:dyDescent="0.25">
      <c r="A79" s="536"/>
      <c r="B79" s="530" t="s">
        <v>157</v>
      </c>
      <c r="C79" s="363">
        <v>707043</v>
      </c>
      <c r="D79" s="364"/>
      <c r="E79" s="362">
        <v>40565</v>
      </c>
      <c r="F79" s="362">
        <v>80000</v>
      </c>
      <c r="G79" s="362">
        <f t="shared" si="12"/>
        <v>827608</v>
      </c>
      <c r="H79" s="362">
        <f t="shared" si="13"/>
        <v>124141.2</v>
      </c>
      <c r="I79" s="453">
        <v>2</v>
      </c>
      <c r="J79" s="362">
        <f t="shared" si="11"/>
        <v>1903498.4</v>
      </c>
    </row>
    <row r="80" spans="1:10" ht="18.75" x14ac:dyDescent="0.25">
      <c r="A80" s="536"/>
      <c r="B80" s="530" t="s">
        <v>158</v>
      </c>
      <c r="C80" s="363">
        <v>707043</v>
      </c>
      <c r="D80" s="364"/>
      <c r="E80" s="362">
        <v>42700</v>
      </c>
      <c r="F80" s="362">
        <v>80000</v>
      </c>
      <c r="G80" s="362">
        <f t="shared" si="12"/>
        <v>829743</v>
      </c>
      <c r="H80" s="362">
        <f t="shared" si="13"/>
        <v>124461.45</v>
      </c>
      <c r="I80" s="453">
        <v>2</v>
      </c>
      <c r="J80" s="362">
        <f t="shared" si="11"/>
        <v>1908408.9</v>
      </c>
    </row>
    <row r="81" spans="1:10" ht="18.75" x14ac:dyDescent="0.25">
      <c r="A81" s="536"/>
      <c r="B81" s="530" t="s">
        <v>164</v>
      </c>
      <c r="C81" s="363">
        <v>707043</v>
      </c>
      <c r="D81" s="364"/>
      <c r="E81" s="362">
        <v>51240</v>
      </c>
      <c r="F81" s="362">
        <v>80000</v>
      </c>
      <c r="G81" s="362">
        <f t="shared" si="12"/>
        <v>838283</v>
      </c>
      <c r="H81" s="362">
        <f t="shared" si="13"/>
        <v>125742.45</v>
      </c>
      <c r="I81" s="453">
        <v>2</v>
      </c>
      <c r="J81" s="362">
        <f t="shared" si="11"/>
        <v>1928050.9</v>
      </c>
    </row>
    <row r="82" spans="1:10" ht="18.75" x14ac:dyDescent="0.25">
      <c r="A82" s="536"/>
      <c r="B82" s="530" t="s">
        <v>160</v>
      </c>
      <c r="C82" s="363">
        <v>707043</v>
      </c>
      <c r="D82" s="364"/>
      <c r="E82" s="362">
        <v>64050</v>
      </c>
      <c r="F82" s="362">
        <v>100000</v>
      </c>
      <c r="G82" s="362">
        <f t="shared" si="12"/>
        <v>871093</v>
      </c>
      <c r="H82" s="362">
        <f t="shared" si="13"/>
        <v>130663.95</v>
      </c>
      <c r="I82" s="453">
        <v>2</v>
      </c>
      <c r="J82" s="362">
        <f t="shared" si="11"/>
        <v>2003513.9</v>
      </c>
    </row>
    <row r="83" spans="1:10" ht="18.75" x14ac:dyDescent="0.25">
      <c r="A83" s="536"/>
      <c r="B83" s="530" t="s">
        <v>163</v>
      </c>
      <c r="C83" s="363">
        <v>707043</v>
      </c>
      <c r="D83" s="364"/>
      <c r="E83" s="362">
        <v>70455</v>
      </c>
      <c r="F83" s="362">
        <v>100000</v>
      </c>
      <c r="G83" s="362">
        <f t="shared" si="12"/>
        <v>877498</v>
      </c>
      <c r="H83" s="362">
        <f t="shared" si="13"/>
        <v>131624.69999999998</v>
      </c>
      <c r="I83" s="453">
        <v>2</v>
      </c>
      <c r="J83" s="362">
        <f t="shared" si="11"/>
        <v>2018245.4</v>
      </c>
    </row>
    <row r="84" spans="1:10" ht="18.75" x14ac:dyDescent="0.25">
      <c r="A84" s="536"/>
      <c r="B84" s="530" t="s">
        <v>162</v>
      </c>
      <c r="C84" s="363">
        <v>707043</v>
      </c>
      <c r="D84" s="364"/>
      <c r="E84" s="362">
        <v>83265</v>
      </c>
      <c r="F84" s="362">
        <v>100000</v>
      </c>
      <c r="G84" s="362">
        <f t="shared" si="12"/>
        <v>890308</v>
      </c>
      <c r="H84" s="362">
        <f t="shared" si="13"/>
        <v>133546.19999999998</v>
      </c>
      <c r="I84" s="453">
        <v>2</v>
      </c>
      <c r="J84" s="362">
        <f t="shared" si="11"/>
        <v>2047708.4</v>
      </c>
    </row>
    <row r="85" spans="1:10" ht="33" x14ac:dyDescent="0.25">
      <c r="A85" s="536" t="s">
        <v>224</v>
      </c>
      <c r="B85" s="528" t="s">
        <v>130</v>
      </c>
      <c r="C85" s="363">
        <v>1414086</v>
      </c>
      <c r="D85" s="362">
        <v>192500</v>
      </c>
      <c r="E85" s="364"/>
      <c r="F85" s="364"/>
      <c r="G85" s="362">
        <f t="shared" si="12"/>
        <v>1606586</v>
      </c>
      <c r="H85" s="362">
        <f t="shared" si="13"/>
        <v>240987.9</v>
      </c>
      <c r="I85" s="453"/>
      <c r="J85" s="362">
        <f>G85+H85</f>
        <v>1847573.9</v>
      </c>
    </row>
  </sheetData>
  <mergeCells count="6">
    <mergeCell ref="A1:J1"/>
    <mergeCell ref="A2:J2"/>
    <mergeCell ref="A7:A16"/>
    <mergeCell ref="A36:A45"/>
    <mergeCell ref="K50:L50"/>
    <mergeCell ref="K5:L5"/>
  </mergeCells>
  <pageMargins left="0.28999999999999998" right="0.16" top="0.25" bottom="0.34" header="0.2" footer="0.17"/>
  <pageSetup paperSize="9" scale="95" orientation="landscape"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topLeftCell="A39" workbookViewId="0">
      <selection activeCell="A46" sqref="A46"/>
    </sheetView>
  </sheetViews>
  <sheetFormatPr defaultColWidth="9" defaultRowHeight="16.5" x14ac:dyDescent="0.25"/>
  <cols>
    <col min="1" max="1" width="5.875" style="340" bestFit="1" customWidth="1"/>
    <col min="2" max="2" width="25.125" style="340" customWidth="1"/>
    <col min="3" max="3" width="10.25" style="388" customWidth="1"/>
    <col min="4" max="4" width="9.125" style="340" bestFit="1" customWidth="1"/>
    <col min="5" max="5" width="8.5" style="340" customWidth="1"/>
    <col min="6" max="6" width="9.875" style="340" customWidth="1"/>
    <col min="7" max="7" width="11.25" style="340" bestFit="1" customWidth="1"/>
    <col min="8" max="8" width="12.25" style="340" customWidth="1"/>
    <col min="9" max="9" width="6.75" style="525" customWidth="1"/>
    <col min="10" max="10" width="12.5" style="386" customWidth="1"/>
    <col min="11" max="11" width="12.25" style="340" bestFit="1" customWidth="1"/>
    <col min="12" max="12" width="13.5" style="340" customWidth="1"/>
    <col min="13" max="13" width="10" style="340" bestFit="1" customWidth="1"/>
    <col min="14" max="16384" width="9" style="340"/>
  </cols>
  <sheetData>
    <row r="1" spans="1:12" x14ac:dyDescent="0.25">
      <c r="A1" s="739" t="s">
        <v>237</v>
      </c>
      <c r="B1" s="739"/>
      <c r="C1" s="739"/>
      <c r="D1" s="739"/>
      <c r="E1" s="739"/>
      <c r="F1" s="739"/>
      <c r="G1" s="739"/>
      <c r="H1" s="739"/>
      <c r="I1" s="739"/>
      <c r="J1" s="739"/>
    </row>
    <row r="2" spans="1:12" ht="40.5" customHeight="1" x14ac:dyDescent="0.25">
      <c r="A2" s="740" t="s">
        <v>239</v>
      </c>
      <c r="B2" s="740"/>
      <c r="C2" s="740"/>
      <c r="D2" s="740"/>
      <c r="E2" s="740"/>
      <c r="F2" s="740"/>
      <c r="G2" s="740"/>
      <c r="H2" s="740"/>
      <c r="I2" s="740"/>
      <c r="J2" s="740"/>
    </row>
    <row r="3" spans="1:12" x14ac:dyDescent="0.25">
      <c r="A3" s="341"/>
      <c r="B3" s="341"/>
      <c r="C3" s="342"/>
      <c r="D3" s="341"/>
      <c r="E3" s="341"/>
      <c r="F3" s="341"/>
      <c r="G3" s="341"/>
      <c r="H3" s="341"/>
      <c r="I3" s="341"/>
      <c r="J3" s="450" t="s">
        <v>118</v>
      </c>
    </row>
    <row r="4" spans="1:12" ht="46.15" customHeight="1" x14ac:dyDescent="0.25">
      <c r="A4" s="344" t="s">
        <v>0</v>
      </c>
      <c r="B4" s="344" t="s">
        <v>1</v>
      </c>
      <c r="C4" s="389" t="s">
        <v>119</v>
      </c>
      <c r="D4" s="136" t="s">
        <v>120</v>
      </c>
      <c r="E4" s="136" t="s">
        <v>121</v>
      </c>
      <c r="F4" s="137" t="s">
        <v>122</v>
      </c>
      <c r="G4" s="136" t="s">
        <v>123</v>
      </c>
      <c r="H4" s="136" t="s">
        <v>124</v>
      </c>
      <c r="I4" s="395" t="s">
        <v>86</v>
      </c>
      <c r="J4" s="136" t="s">
        <v>78</v>
      </c>
    </row>
    <row r="5" spans="1:12" x14ac:dyDescent="0.25">
      <c r="A5" s="526" t="s">
        <v>142</v>
      </c>
      <c r="B5" s="527" t="s">
        <v>192</v>
      </c>
      <c r="C5" s="389"/>
      <c r="D5" s="136"/>
      <c r="E5" s="136"/>
      <c r="F5" s="136"/>
      <c r="G5" s="136"/>
      <c r="H5" s="136"/>
      <c r="I5" s="136"/>
      <c r="J5" s="136"/>
      <c r="K5" s="724" t="s">
        <v>257</v>
      </c>
      <c r="L5" s="725"/>
    </row>
    <row r="6" spans="1:12" ht="50.45" customHeight="1" x14ac:dyDescent="0.25">
      <c r="A6" s="420">
        <v>1</v>
      </c>
      <c r="B6" s="528" t="s">
        <v>193</v>
      </c>
      <c r="C6" s="389"/>
      <c r="D6" s="136"/>
      <c r="E6" s="136"/>
      <c r="F6" s="136"/>
      <c r="G6" s="136"/>
      <c r="H6" s="136"/>
      <c r="I6" s="136"/>
      <c r="J6" s="136"/>
      <c r="K6" s="524" t="s">
        <v>181</v>
      </c>
      <c r="L6" s="554" t="s">
        <v>238</v>
      </c>
    </row>
    <row r="7" spans="1:12" ht="82.5" x14ac:dyDescent="0.25">
      <c r="A7" s="773" t="s">
        <v>194</v>
      </c>
      <c r="B7" s="529" t="s">
        <v>39</v>
      </c>
      <c r="C7" s="313"/>
      <c r="D7" s="136"/>
      <c r="E7" s="136"/>
      <c r="F7" s="136"/>
      <c r="G7" s="136"/>
      <c r="H7" s="136"/>
      <c r="I7" s="136"/>
      <c r="J7" s="136"/>
      <c r="K7" s="391">
        <f>J8+J17+J18+J19+J20+J24+J25+J26+J27+J29+J30+J31+J32+J34+J35+J37+J46+J47+J48+J49+J50+J52</f>
        <v>152509573</v>
      </c>
      <c r="L7" s="391">
        <f>J16+J17+J18+J19+J20+J24+J25+J26+J27+J29+J30+J31+J32+J34+J35+J45+J46+J47+J48+J49+J50+J60</f>
        <v>155134856.25</v>
      </c>
    </row>
    <row r="8" spans="1:12" ht="18.75" x14ac:dyDescent="0.25">
      <c r="A8" s="773"/>
      <c r="B8" s="530" t="s">
        <v>154</v>
      </c>
      <c r="C8" s="315">
        <f>NC_VT!H7</f>
        <v>1138860</v>
      </c>
      <c r="D8" s="322"/>
      <c r="E8" s="322">
        <f>NC_VT!H13</f>
        <v>0</v>
      </c>
      <c r="F8" s="322"/>
      <c r="G8" s="362">
        <f>SUM(C8:F8)</f>
        <v>1138860</v>
      </c>
      <c r="H8" s="362">
        <f>G8*15%</f>
        <v>170829</v>
      </c>
      <c r="I8" s="453">
        <v>3</v>
      </c>
      <c r="J8" s="362">
        <f>(G8+H8)*I8</f>
        <v>3929067</v>
      </c>
      <c r="L8" s="386"/>
    </row>
    <row r="9" spans="1:12" ht="18.75" x14ac:dyDescent="0.25">
      <c r="A9" s="773"/>
      <c r="B9" s="530" t="s">
        <v>155</v>
      </c>
      <c r="C9" s="315">
        <f>NC_VT!H7</f>
        <v>1138860</v>
      </c>
      <c r="D9" s="322"/>
      <c r="E9" s="322">
        <f>NC_VT!H14</f>
        <v>21350</v>
      </c>
      <c r="F9" s="322">
        <f>NC_VT!H24</f>
        <v>320000</v>
      </c>
      <c r="G9" s="362">
        <f>SUM(C9:F9)</f>
        <v>1480210</v>
      </c>
      <c r="H9" s="362">
        <f t="shared" ref="H9:H20" si="0">G9*15%</f>
        <v>222031.5</v>
      </c>
      <c r="I9" s="453">
        <v>3</v>
      </c>
      <c r="J9" s="362">
        <f t="shared" ref="J9:J19" si="1">(G9+H9)*I9</f>
        <v>5106724.5</v>
      </c>
    </row>
    <row r="10" spans="1:12" ht="18.75" x14ac:dyDescent="0.25">
      <c r="A10" s="773"/>
      <c r="B10" s="530" t="s">
        <v>156</v>
      </c>
      <c r="C10" s="315">
        <f>NC_VT!H7</f>
        <v>1138860</v>
      </c>
      <c r="D10" s="322"/>
      <c r="E10" s="322">
        <f>NC_VT!H15</f>
        <v>29890</v>
      </c>
      <c r="F10" s="322">
        <f>NC_VT!H24</f>
        <v>320000</v>
      </c>
      <c r="G10" s="362">
        <f>SUM(C10:F10)</f>
        <v>1488750</v>
      </c>
      <c r="H10" s="362">
        <f t="shared" si="0"/>
        <v>223312.5</v>
      </c>
      <c r="I10" s="453">
        <v>3</v>
      </c>
      <c r="J10" s="362">
        <f t="shared" si="1"/>
        <v>5136187.5</v>
      </c>
    </row>
    <row r="11" spans="1:12" ht="18.75" x14ac:dyDescent="0.25">
      <c r="A11" s="773"/>
      <c r="B11" s="530" t="s">
        <v>157</v>
      </c>
      <c r="C11" s="315">
        <f>NC_VT!H7</f>
        <v>1138860</v>
      </c>
      <c r="D11" s="322"/>
      <c r="E11" s="322">
        <f>NC_VT!H16</f>
        <v>40565</v>
      </c>
      <c r="F11" s="322">
        <f>NC_VT!H24</f>
        <v>320000</v>
      </c>
      <c r="G11" s="362">
        <f t="shared" ref="G11:G20" si="2">SUM(C11:F11)</f>
        <v>1499425</v>
      </c>
      <c r="H11" s="362">
        <f t="shared" si="0"/>
        <v>224913.75</v>
      </c>
      <c r="I11" s="453">
        <v>3</v>
      </c>
      <c r="J11" s="362">
        <f t="shared" si="1"/>
        <v>5173016.25</v>
      </c>
    </row>
    <row r="12" spans="1:12" ht="18.75" x14ac:dyDescent="0.25">
      <c r="A12" s="773"/>
      <c r="B12" s="530" t="s">
        <v>158</v>
      </c>
      <c r="C12" s="315">
        <f>NC_VT!H7</f>
        <v>1138860</v>
      </c>
      <c r="D12" s="322"/>
      <c r="E12" s="322">
        <f>NC_VT!H17</f>
        <v>42700</v>
      </c>
      <c r="F12" s="322">
        <f>NC_VT!H24</f>
        <v>320000</v>
      </c>
      <c r="G12" s="362">
        <f>SUM(C12:F12)</f>
        <v>1501560</v>
      </c>
      <c r="H12" s="362">
        <f t="shared" si="0"/>
        <v>225234</v>
      </c>
      <c r="I12" s="453">
        <v>3</v>
      </c>
      <c r="J12" s="362">
        <f t="shared" si="1"/>
        <v>5180382</v>
      </c>
    </row>
    <row r="13" spans="1:12" ht="18.75" x14ac:dyDescent="0.25">
      <c r="A13" s="773"/>
      <c r="B13" s="530" t="s">
        <v>164</v>
      </c>
      <c r="C13" s="315">
        <f>NC_VT!H7</f>
        <v>1138860</v>
      </c>
      <c r="D13" s="322"/>
      <c r="E13" s="322">
        <f>NC_VT!H18</f>
        <v>51240</v>
      </c>
      <c r="F13" s="322">
        <f>NC_VT!H24</f>
        <v>320000</v>
      </c>
      <c r="G13" s="362">
        <f t="shared" si="2"/>
        <v>1510100</v>
      </c>
      <c r="H13" s="362">
        <f t="shared" si="0"/>
        <v>226515</v>
      </c>
      <c r="I13" s="453">
        <v>3</v>
      </c>
      <c r="J13" s="362">
        <f t="shared" si="1"/>
        <v>5209845</v>
      </c>
    </row>
    <row r="14" spans="1:12" ht="18.75" x14ac:dyDescent="0.25">
      <c r="A14" s="773"/>
      <c r="B14" s="530" t="s">
        <v>160</v>
      </c>
      <c r="C14" s="315">
        <f>NC_VT!H7</f>
        <v>1138860</v>
      </c>
      <c r="D14" s="322"/>
      <c r="E14" s="322">
        <f>NC_VT!H19</f>
        <v>64050</v>
      </c>
      <c r="F14" s="322">
        <f>NC_VT!H23</f>
        <v>400000</v>
      </c>
      <c r="G14" s="362">
        <f t="shared" si="2"/>
        <v>1602910</v>
      </c>
      <c r="H14" s="362">
        <f t="shared" si="0"/>
        <v>240436.5</v>
      </c>
      <c r="I14" s="453">
        <v>3</v>
      </c>
      <c r="J14" s="362">
        <f t="shared" si="1"/>
        <v>5530039.5</v>
      </c>
    </row>
    <row r="15" spans="1:12" ht="18.75" x14ac:dyDescent="0.25">
      <c r="A15" s="773"/>
      <c r="B15" s="530" t="s">
        <v>163</v>
      </c>
      <c r="C15" s="315">
        <f>NC_VT!H7</f>
        <v>1138860</v>
      </c>
      <c r="D15" s="322"/>
      <c r="E15" s="322">
        <f>NC_VT!H20</f>
        <v>70455</v>
      </c>
      <c r="F15" s="322">
        <f>NC_VT!H23</f>
        <v>400000</v>
      </c>
      <c r="G15" s="362">
        <f t="shared" si="2"/>
        <v>1609315</v>
      </c>
      <c r="H15" s="362">
        <f t="shared" si="0"/>
        <v>241397.25</v>
      </c>
      <c r="I15" s="453">
        <v>3</v>
      </c>
      <c r="J15" s="362">
        <f t="shared" si="1"/>
        <v>5552136.75</v>
      </c>
    </row>
    <row r="16" spans="1:12" ht="18.75" x14ac:dyDescent="0.25">
      <c r="A16" s="773"/>
      <c r="B16" s="530" t="s">
        <v>162</v>
      </c>
      <c r="C16" s="315">
        <f>NC_VT!H7</f>
        <v>1138860</v>
      </c>
      <c r="D16" s="322"/>
      <c r="E16" s="322">
        <f>NC_VT!H21</f>
        <v>83265</v>
      </c>
      <c r="F16" s="322">
        <f>NC_VT!H23</f>
        <v>400000</v>
      </c>
      <c r="G16" s="362">
        <f t="shared" si="2"/>
        <v>1622125</v>
      </c>
      <c r="H16" s="362">
        <f t="shared" si="0"/>
        <v>243318.75</v>
      </c>
      <c r="I16" s="453">
        <v>3</v>
      </c>
      <c r="J16" s="362">
        <f t="shared" si="1"/>
        <v>5596331.25</v>
      </c>
    </row>
    <row r="17" spans="1:13" ht="33" x14ac:dyDescent="0.25">
      <c r="A17" s="531" t="s">
        <v>195</v>
      </c>
      <c r="B17" s="528" t="s">
        <v>40</v>
      </c>
      <c r="C17" s="363">
        <f>NC_VT!H25</f>
        <v>3416580</v>
      </c>
      <c r="D17" s="362">
        <f>NC_VT!H26</f>
        <v>204500</v>
      </c>
      <c r="E17" s="362"/>
      <c r="F17" s="362"/>
      <c r="G17" s="362">
        <f t="shared" si="2"/>
        <v>3621080</v>
      </c>
      <c r="H17" s="362">
        <f t="shared" si="0"/>
        <v>543162</v>
      </c>
      <c r="I17" s="453">
        <v>3</v>
      </c>
      <c r="J17" s="362">
        <f t="shared" si="1"/>
        <v>12492726</v>
      </c>
    </row>
    <row r="18" spans="1:13" ht="33" x14ac:dyDescent="0.25">
      <c r="A18" s="531" t="s">
        <v>196</v>
      </c>
      <c r="B18" s="528" t="s">
        <v>41</v>
      </c>
      <c r="C18" s="363">
        <f>NC_VT!H31</f>
        <v>5124870</v>
      </c>
      <c r="D18" s="362">
        <f>NC_VT!H32</f>
        <v>549500</v>
      </c>
      <c r="E18" s="362"/>
      <c r="F18" s="362"/>
      <c r="G18" s="362">
        <f t="shared" si="2"/>
        <v>5674370</v>
      </c>
      <c r="H18" s="362">
        <f t="shared" si="0"/>
        <v>851155.5</v>
      </c>
      <c r="I18" s="453">
        <v>3</v>
      </c>
      <c r="J18" s="362">
        <f t="shared" si="1"/>
        <v>19576576.5</v>
      </c>
    </row>
    <row r="19" spans="1:13" ht="20.25" customHeight="1" x14ac:dyDescent="0.25">
      <c r="A19" s="532" t="s">
        <v>197</v>
      </c>
      <c r="B19" s="528" t="s">
        <v>42</v>
      </c>
      <c r="C19" s="363">
        <f>NC_VT!H37</f>
        <v>3416580</v>
      </c>
      <c r="D19" s="362">
        <f>NC_VT!H32</f>
        <v>549500</v>
      </c>
      <c r="E19" s="362"/>
      <c r="F19" s="362"/>
      <c r="G19" s="362">
        <f t="shared" si="2"/>
        <v>3966080</v>
      </c>
      <c r="H19" s="362">
        <f t="shared" si="0"/>
        <v>594912</v>
      </c>
      <c r="I19" s="453">
        <v>3</v>
      </c>
      <c r="J19" s="362">
        <f t="shared" si="1"/>
        <v>13682976</v>
      </c>
    </row>
    <row r="20" spans="1:13" ht="33" x14ac:dyDescent="0.25">
      <c r="A20" s="532">
        <v>2</v>
      </c>
      <c r="B20" s="528" t="s">
        <v>43</v>
      </c>
      <c r="C20" s="363">
        <f>NC_VT!H41</f>
        <v>597645</v>
      </c>
      <c r="D20" s="362">
        <f>NC_VT!H42</f>
        <v>192500</v>
      </c>
      <c r="E20" s="362"/>
      <c r="F20" s="362"/>
      <c r="G20" s="362">
        <f t="shared" si="2"/>
        <v>790145</v>
      </c>
      <c r="H20" s="362">
        <f t="shared" si="0"/>
        <v>118521.75</v>
      </c>
      <c r="I20" s="453"/>
      <c r="J20" s="362">
        <f>G20+H20</f>
        <v>908666.75</v>
      </c>
    </row>
    <row r="21" spans="1:13" x14ac:dyDescent="0.25">
      <c r="A21" s="533" t="s">
        <v>144</v>
      </c>
      <c r="B21" s="534" t="s">
        <v>199</v>
      </c>
      <c r="C21" s="363"/>
      <c r="D21" s="363"/>
      <c r="E21" s="362"/>
      <c r="F21" s="362"/>
      <c r="G21" s="362"/>
      <c r="H21" s="362"/>
      <c r="I21" s="453"/>
      <c r="J21" s="362"/>
    </row>
    <row r="22" spans="1:13" x14ac:dyDescent="0.25">
      <c r="A22" s="533">
        <v>1</v>
      </c>
      <c r="B22" s="535" t="s">
        <v>146</v>
      </c>
      <c r="C22" s="363"/>
      <c r="D22" s="363"/>
      <c r="E22" s="362"/>
      <c r="F22" s="362"/>
      <c r="G22" s="362"/>
      <c r="H22" s="362"/>
      <c r="I22" s="453"/>
      <c r="J22" s="362"/>
    </row>
    <row r="23" spans="1:13" ht="33" x14ac:dyDescent="0.25">
      <c r="A23" s="536" t="s">
        <v>194</v>
      </c>
      <c r="B23" s="528" t="s">
        <v>72</v>
      </c>
      <c r="C23" s="363"/>
      <c r="D23" s="363"/>
      <c r="E23" s="362"/>
      <c r="F23" s="362"/>
      <c r="G23" s="362"/>
      <c r="H23" s="362"/>
      <c r="I23" s="453"/>
      <c r="J23" s="362"/>
      <c r="M23" s="391"/>
    </row>
    <row r="24" spans="1:13" ht="68.25" customHeight="1" x14ac:dyDescent="0.25">
      <c r="A24" s="536" t="s">
        <v>225</v>
      </c>
      <c r="B24" s="528" t="s">
        <v>214</v>
      </c>
      <c r="C24" s="363">
        <f>NC_VT!H48</f>
        <v>2706075</v>
      </c>
      <c r="D24" s="362">
        <f>NC_VT!H49</f>
        <v>295000</v>
      </c>
      <c r="E24" s="364"/>
      <c r="F24" s="364"/>
      <c r="G24" s="362">
        <f t="shared" ref="G24:G35" si="3">SUM(C24:F24)</f>
        <v>3001075</v>
      </c>
      <c r="H24" s="362">
        <f t="shared" ref="H24:H35" si="4">G24*15%</f>
        <v>450161.25</v>
      </c>
      <c r="I24" s="453">
        <v>3</v>
      </c>
      <c r="J24" s="362">
        <f>(G24+H24)*I24</f>
        <v>10353708.75</v>
      </c>
    </row>
    <row r="25" spans="1:13" ht="66" x14ac:dyDescent="0.25">
      <c r="A25" s="536" t="s">
        <v>226</v>
      </c>
      <c r="B25" s="528" t="s">
        <v>200</v>
      </c>
      <c r="C25" s="363">
        <f>NC_VT!H53</f>
        <v>569430</v>
      </c>
      <c r="D25" s="362">
        <f>NC_VT!H54</f>
        <v>192500</v>
      </c>
      <c r="E25" s="364"/>
      <c r="F25" s="364"/>
      <c r="G25" s="362">
        <f t="shared" si="3"/>
        <v>761930</v>
      </c>
      <c r="H25" s="362">
        <f t="shared" si="4"/>
        <v>114289.5</v>
      </c>
      <c r="I25" s="453"/>
      <c r="J25" s="362">
        <f>G25+H25</f>
        <v>876219.5</v>
      </c>
    </row>
    <row r="26" spans="1:13" ht="139.5" customHeight="1" x14ac:dyDescent="0.25">
      <c r="A26" s="536" t="s">
        <v>195</v>
      </c>
      <c r="B26" s="528" t="s">
        <v>201</v>
      </c>
      <c r="C26" s="363">
        <f>NC_VT!H57</f>
        <v>1138860</v>
      </c>
      <c r="D26" s="362">
        <f>NC_VT!H58</f>
        <v>75500</v>
      </c>
      <c r="E26" s="364"/>
      <c r="F26" s="364"/>
      <c r="G26" s="362">
        <f t="shared" si="3"/>
        <v>1214360</v>
      </c>
      <c r="H26" s="362">
        <f t="shared" si="4"/>
        <v>182154</v>
      </c>
      <c r="I26" s="453"/>
      <c r="J26" s="362">
        <f>G26+H26</f>
        <v>1396514</v>
      </c>
    </row>
    <row r="27" spans="1:13" ht="69" customHeight="1" x14ac:dyDescent="0.25">
      <c r="A27" s="536" t="s">
        <v>196</v>
      </c>
      <c r="B27" s="537" t="s">
        <v>248</v>
      </c>
      <c r="C27" s="363">
        <f>NC_VT!H61</f>
        <v>3416580</v>
      </c>
      <c r="D27" s="362">
        <f>NC_VT!H62</f>
        <v>290000</v>
      </c>
      <c r="E27" s="364"/>
      <c r="F27" s="364"/>
      <c r="G27" s="362">
        <f t="shared" si="3"/>
        <v>3706580</v>
      </c>
      <c r="H27" s="362">
        <f t="shared" si="4"/>
        <v>555987</v>
      </c>
      <c r="I27" s="453"/>
      <c r="J27" s="362">
        <f>G27+H27</f>
        <v>4262567</v>
      </c>
    </row>
    <row r="28" spans="1:13" ht="84" customHeight="1" x14ac:dyDescent="0.25">
      <c r="A28" s="536" t="s">
        <v>197</v>
      </c>
      <c r="B28" s="339" t="s">
        <v>49</v>
      </c>
      <c r="C28" s="363"/>
      <c r="D28" s="364"/>
      <c r="E28" s="364"/>
      <c r="F28" s="364"/>
      <c r="G28" s="362"/>
      <c r="H28" s="362"/>
      <c r="I28" s="453"/>
      <c r="J28" s="362"/>
    </row>
    <row r="29" spans="1:13" ht="69.75" customHeight="1" x14ac:dyDescent="0.25">
      <c r="A29" s="536" t="s">
        <v>227</v>
      </c>
      <c r="B29" s="528" t="s">
        <v>50</v>
      </c>
      <c r="C29" s="363">
        <f>NC_VT!H67</f>
        <v>5124870</v>
      </c>
      <c r="D29" s="362">
        <f>NC_VT!H68</f>
        <v>502500</v>
      </c>
      <c r="E29" s="364"/>
      <c r="F29" s="364"/>
      <c r="G29" s="362">
        <f t="shared" si="3"/>
        <v>5627370</v>
      </c>
      <c r="H29" s="362">
        <f t="shared" si="4"/>
        <v>844105.5</v>
      </c>
      <c r="I29" s="453">
        <v>3</v>
      </c>
      <c r="J29" s="362">
        <f>(G29+H29)*I29</f>
        <v>19414426.5</v>
      </c>
    </row>
    <row r="30" spans="1:13" ht="49.5" x14ac:dyDescent="0.25">
      <c r="A30" s="536" t="s">
        <v>228</v>
      </c>
      <c r="B30" s="538" t="s">
        <v>51</v>
      </c>
      <c r="C30" s="363">
        <f>NC_VT!H72</f>
        <v>4270725</v>
      </c>
      <c r="D30" s="362">
        <f>NC_VT!H73</f>
        <v>212500</v>
      </c>
      <c r="E30" s="364"/>
      <c r="F30" s="364"/>
      <c r="G30" s="362">
        <f t="shared" si="3"/>
        <v>4483225</v>
      </c>
      <c r="H30" s="362">
        <f t="shared" si="4"/>
        <v>672483.75</v>
      </c>
      <c r="I30" s="453">
        <v>3</v>
      </c>
      <c r="J30" s="362">
        <f>(G30+H30)*I30</f>
        <v>15467126.25</v>
      </c>
    </row>
    <row r="31" spans="1:13" ht="33" x14ac:dyDescent="0.25">
      <c r="A31" s="536" t="s">
        <v>229</v>
      </c>
      <c r="B31" s="528" t="s">
        <v>52</v>
      </c>
      <c r="C31" s="363">
        <f>NC_VT!H77</f>
        <v>597645</v>
      </c>
      <c r="D31" s="362">
        <f>NC_VT!H78</f>
        <v>100000</v>
      </c>
      <c r="E31" s="364"/>
      <c r="F31" s="364"/>
      <c r="G31" s="362">
        <f t="shared" si="3"/>
        <v>697645</v>
      </c>
      <c r="H31" s="362">
        <f t="shared" si="4"/>
        <v>104646.75</v>
      </c>
      <c r="I31" s="453">
        <v>3</v>
      </c>
      <c r="J31" s="362">
        <f>(G31+H31)*I31</f>
        <v>2406875.25</v>
      </c>
    </row>
    <row r="32" spans="1:13" ht="49.5" x14ac:dyDescent="0.25">
      <c r="A32" s="536" t="s">
        <v>230</v>
      </c>
      <c r="B32" s="528" t="s">
        <v>53</v>
      </c>
      <c r="C32" s="363">
        <f>NC_VT!H81</f>
        <v>1764720</v>
      </c>
      <c r="D32" s="362">
        <f>NC_VT!H82</f>
        <v>295000</v>
      </c>
      <c r="E32" s="364"/>
      <c r="F32" s="364"/>
      <c r="G32" s="362">
        <f t="shared" si="3"/>
        <v>2059720</v>
      </c>
      <c r="H32" s="362">
        <f t="shared" si="4"/>
        <v>308958</v>
      </c>
      <c r="I32" s="453">
        <v>3</v>
      </c>
      <c r="J32" s="362">
        <f>(G32+H32)*I32</f>
        <v>7106034</v>
      </c>
    </row>
    <row r="33" spans="1:10" ht="219" customHeight="1" x14ac:dyDescent="0.25">
      <c r="A33" s="536" t="s">
        <v>198</v>
      </c>
      <c r="B33" s="339" t="s">
        <v>54</v>
      </c>
      <c r="C33" s="363"/>
      <c r="D33" s="364"/>
      <c r="E33" s="364"/>
      <c r="F33" s="364"/>
      <c r="G33" s="362"/>
      <c r="H33" s="362"/>
      <c r="I33" s="453"/>
      <c r="J33" s="362"/>
    </row>
    <row r="34" spans="1:10" ht="132" x14ac:dyDescent="0.25">
      <c r="A34" s="536" t="s">
        <v>231</v>
      </c>
      <c r="B34" s="528" t="s">
        <v>202</v>
      </c>
      <c r="C34" s="363">
        <f>NC_VT!H87</f>
        <v>3416580</v>
      </c>
      <c r="D34" s="362">
        <f>NC_VT!H93</f>
        <v>202500</v>
      </c>
      <c r="E34" s="364"/>
      <c r="F34" s="364"/>
      <c r="G34" s="362">
        <f t="shared" si="3"/>
        <v>3619080</v>
      </c>
      <c r="H34" s="362">
        <f t="shared" si="4"/>
        <v>542862</v>
      </c>
      <c r="I34" s="453">
        <v>3</v>
      </c>
      <c r="J34" s="362">
        <f>(G34+H34)*I34</f>
        <v>12485826</v>
      </c>
    </row>
    <row r="35" spans="1:10" ht="33" x14ac:dyDescent="0.25">
      <c r="A35" s="541" t="s">
        <v>232</v>
      </c>
      <c r="B35" s="540" t="s">
        <v>67</v>
      </c>
      <c r="C35" s="363">
        <f>NC_VT!H92</f>
        <v>4555440</v>
      </c>
      <c r="D35" s="362">
        <f>NC_VT!H93</f>
        <v>202500</v>
      </c>
      <c r="E35" s="364"/>
      <c r="F35" s="364"/>
      <c r="G35" s="362">
        <f t="shared" si="3"/>
        <v>4757940</v>
      </c>
      <c r="H35" s="362">
        <f t="shared" si="4"/>
        <v>713691</v>
      </c>
      <c r="I35" s="453">
        <v>3</v>
      </c>
      <c r="J35" s="362">
        <f>(G35+H35)*I35</f>
        <v>16414893</v>
      </c>
    </row>
    <row r="36" spans="1:10" ht="33" x14ac:dyDescent="0.25">
      <c r="A36" s="774" t="s">
        <v>234</v>
      </c>
      <c r="B36" s="528" t="s">
        <v>133</v>
      </c>
      <c r="C36" s="363"/>
      <c r="D36" s="364"/>
      <c r="E36" s="364"/>
      <c r="F36" s="364"/>
      <c r="G36" s="365"/>
      <c r="H36" s="365"/>
      <c r="I36" s="449"/>
      <c r="J36" s="366"/>
    </row>
    <row r="37" spans="1:10" ht="18.75" x14ac:dyDescent="0.25">
      <c r="A37" s="775"/>
      <c r="B37" s="530" t="s">
        <v>154</v>
      </c>
      <c r="C37" s="363">
        <f>NC_VT!H97</f>
        <v>854145</v>
      </c>
      <c r="D37" s="364"/>
      <c r="E37" s="362">
        <f>NC_VT!H99</f>
        <v>0</v>
      </c>
      <c r="F37" s="364"/>
      <c r="G37" s="362">
        <f t="shared" ref="G37:G50" si="5">SUM(C37:F37)</f>
        <v>854145</v>
      </c>
      <c r="H37" s="362">
        <f t="shared" ref="H37:H50" si="6">G37*15%</f>
        <v>128121.75</v>
      </c>
      <c r="I37" s="453">
        <v>3</v>
      </c>
      <c r="J37" s="362">
        <f t="shared" ref="J37:J45" si="7">(G37+H37)*I37</f>
        <v>2946800.25</v>
      </c>
    </row>
    <row r="38" spans="1:10" ht="18.75" x14ac:dyDescent="0.25">
      <c r="A38" s="775"/>
      <c r="B38" s="530" t="s">
        <v>155</v>
      </c>
      <c r="C38" s="363">
        <f>NC_VT!H97</f>
        <v>854145</v>
      </c>
      <c r="D38" s="364"/>
      <c r="E38" s="362">
        <f>NC_VT!H100</f>
        <v>21350</v>
      </c>
      <c r="F38" s="362">
        <f>NC_VT!H110</f>
        <v>240000</v>
      </c>
      <c r="G38" s="362">
        <f t="shared" si="5"/>
        <v>1115495</v>
      </c>
      <c r="H38" s="362">
        <f t="shared" si="6"/>
        <v>167324.25</v>
      </c>
      <c r="I38" s="453">
        <v>3</v>
      </c>
      <c r="J38" s="362">
        <f t="shared" si="7"/>
        <v>3848457.75</v>
      </c>
    </row>
    <row r="39" spans="1:10" ht="18.75" x14ac:dyDescent="0.25">
      <c r="A39" s="775"/>
      <c r="B39" s="530" t="s">
        <v>156</v>
      </c>
      <c r="C39" s="363">
        <f>NC_VT!H97</f>
        <v>854145</v>
      </c>
      <c r="D39" s="364"/>
      <c r="E39" s="362">
        <f>NC_VT!H101</f>
        <v>29890</v>
      </c>
      <c r="F39" s="362">
        <v>80000</v>
      </c>
      <c r="G39" s="362">
        <f t="shared" si="5"/>
        <v>964035</v>
      </c>
      <c r="H39" s="362">
        <f t="shared" si="6"/>
        <v>144605.25</v>
      </c>
      <c r="I39" s="453">
        <v>3</v>
      </c>
      <c r="J39" s="362">
        <f t="shared" si="7"/>
        <v>3325920.75</v>
      </c>
    </row>
    <row r="40" spans="1:10" ht="18.75" x14ac:dyDescent="0.25">
      <c r="A40" s="775"/>
      <c r="B40" s="530" t="s">
        <v>157</v>
      </c>
      <c r="C40" s="363">
        <f>NC_VT!H97</f>
        <v>854145</v>
      </c>
      <c r="D40" s="364"/>
      <c r="E40" s="362">
        <f>NC_VT!H102</f>
        <v>40565</v>
      </c>
      <c r="F40" s="362">
        <v>80000</v>
      </c>
      <c r="G40" s="362">
        <f t="shared" si="5"/>
        <v>974710</v>
      </c>
      <c r="H40" s="362">
        <f t="shared" si="6"/>
        <v>146206.5</v>
      </c>
      <c r="I40" s="453">
        <v>3</v>
      </c>
      <c r="J40" s="362">
        <f t="shared" si="7"/>
        <v>3362749.5</v>
      </c>
    </row>
    <row r="41" spans="1:10" ht="18.75" x14ac:dyDescent="0.25">
      <c r="A41" s="775"/>
      <c r="B41" s="530" t="s">
        <v>158</v>
      </c>
      <c r="C41" s="363">
        <f>NC_VT!H97</f>
        <v>854145</v>
      </c>
      <c r="D41" s="364"/>
      <c r="E41" s="362">
        <f>NC_VT!H103</f>
        <v>42700</v>
      </c>
      <c r="F41" s="362">
        <v>80000</v>
      </c>
      <c r="G41" s="362">
        <f t="shared" si="5"/>
        <v>976845</v>
      </c>
      <c r="H41" s="362">
        <f t="shared" si="6"/>
        <v>146526.75</v>
      </c>
      <c r="I41" s="453">
        <v>3</v>
      </c>
      <c r="J41" s="362">
        <f t="shared" si="7"/>
        <v>3370115.25</v>
      </c>
    </row>
    <row r="42" spans="1:10" ht="18.75" x14ac:dyDescent="0.25">
      <c r="A42" s="775"/>
      <c r="B42" s="530" t="s">
        <v>164</v>
      </c>
      <c r="C42" s="363">
        <f>NC_VT!H97</f>
        <v>854145</v>
      </c>
      <c r="D42" s="364"/>
      <c r="E42" s="362">
        <f>NC_VT!H104</f>
        <v>51240</v>
      </c>
      <c r="F42" s="362">
        <v>80000</v>
      </c>
      <c r="G42" s="362">
        <f t="shared" si="5"/>
        <v>985385</v>
      </c>
      <c r="H42" s="362">
        <f t="shared" si="6"/>
        <v>147807.75</v>
      </c>
      <c r="I42" s="453">
        <v>3</v>
      </c>
      <c r="J42" s="362">
        <f t="shared" si="7"/>
        <v>3399578.25</v>
      </c>
    </row>
    <row r="43" spans="1:10" ht="18.75" x14ac:dyDescent="0.25">
      <c r="A43" s="775"/>
      <c r="B43" s="530" t="s">
        <v>160</v>
      </c>
      <c r="C43" s="363">
        <f>NC_VT!H97</f>
        <v>854145</v>
      </c>
      <c r="D43" s="364"/>
      <c r="E43" s="362">
        <f>NC_VT!H105</f>
        <v>64050</v>
      </c>
      <c r="F43" s="362">
        <v>100000</v>
      </c>
      <c r="G43" s="362">
        <f t="shared" si="5"/>
        <v>1018195</v>
      </c>
      <c r="H43" s="362">
        <f t="shared" si="6"/>
        <v>152729.25</v>
      </c>
      <c r="I43" s="453">
        <v>3</v>
      </c>
      <c r="J43" s="362">
        <f t="shared" si="7"/>
        <v>3512772.75</v>
      </c>
    </row>
    <row r="44" spans="1:10" ht="18.75" x14ac:dyDescent="0.25">
      <c r="A44" s="775"/>
      <c r="B44" s="530" t="s">
        <v>163</v>
      </c>
      <c r="C44" s="363">
        <f>NC_VT!H97</f>
        <v>854145</v>
      </c>
      <c r="D44" s="364"/>
      <c r="E44" s="362">
        <f>NC_VT!H106</f>
        <v>70455</v>
      </c>
      <c r="F44" s="362">
        <v>100000</v>
      </c>
      <c r="G44" s="362">
        <f t="shared" si="5"/>
        <v>1024600</v>
      </c>
      <c r="H44" s="362">
        <f t="shared" si="6"/>
        <v>153690</v>
      </c>
      <c r="I44" s="453">
        <v>3</v>
      </c>
      <c r="J44" s="362">
        <f t="shared" si="7"/>
        <v>3534870</v>
      </c>
    </row>
    <row r="45" spans="1:10" ht="18.75" x14ac:dyDescent="0.25">
      <c r="A45" s="775"/>
      <c r="B45" s="530" t="s">
        <v>162</v>
      </c>
      <c r="C45" s="363">
        <f>NC_VT!H97</f>
        <v>854145</v>
      </c>
      <c r="D45" s="364"/>
      <c r="E45" s="362">
        <f>NC_VT!H107</f>
        <v>83265</v>
      </c>
      <c r="F45" s="362">
        <v>100000</v>
      </c>
      <c r="G45" s="362">
        <f t="shared" si="5"/>
        <v>1037410</v>
      </c>
      <c r="H45" s="362">
        <f t="shared" si="6"/>
        <v>155611.5</v>
      </c>
      <c r="I45" s="453">
        <v>3</v>
      </c>
      <c r="J45" s="362">
        <f t="shared" si="7"/>
        <v>3579064.5</v>
      </c>
    </row>
    <row r="46" spans="1:10" ht="33" x14ac:dyDescent="0.25">
      <c r="A46" s="542" t="s">
        <v>235</v>
      </c>
      <c r="B46" s="339" t="s">
        <v>130</v>
      </c>
      <c r="C46" s="363">
        <f>NC_VT!H111</f>
        <v>1708290</v>
      </c>
      <c r="D46" s="362">
        <f>NC_VT!H112</f>
        <v>192500</v>
      </c>
      <c r="E46" s="364"/>
      <c r="F46" s="364"/>
      <c r="G46" s="362">
        <f t="shared" si="5"/>
        <v>1900790</v>
      </c>
      <c r="H46" s="362">
        <f t="shared" si="6"/>
        <v>285118.5</v>
      </c>
      <c r="I46" s="453"/>
      <c r="J46" s="362">
        <f t="shared" ref="J46:J60" si="8">G46+H46</f>
        <v>2185908.5</v>
      </c>
    </row>
    <row r="47" spans="1:10" ht="66" x14ac:dyDescent="0.25">
      <c r="A47" s="542" t="s">
        <v>204</v>
      </c>
      <c r="B47" s="339" t="s">
        <v>73</v>
      </c>
      <c r="C47" s="363">
        <f>NC_VT!H115</f>
        <v>1708290</v>
      </c>
      <c r="D47" s="362">
        <f>NC_VT!H116</f>
        <v>200000</v>
      </c>
      <c r="E47" s="364"/>
      <c r="F47" s="364"/>
      <c r="G47" s="362">
        <f t="shared" si="5"/>
        <v>1908290</v>
      </c>
      <c r="H47" s="362">
        <f t="shared" si="6"/>
        <v>286243.5</v>
      </c>
      <c r="I47" s="453"/>
      <c r="J47" s="362">
        <f t="shared" si="8"/>
        <v>2194533.5</v>
      </c>
    </row>
    <row r="48" spans="1:10" ht="66" x14ac:dyDescent="0.25">
      <c r="A48" s="536" t="s">
        <v>205</v>
      </c>
      <c r="B48" s="528" t="s">
        <v>74</v>
      </c>
      <c r="C48" s="363">
        <f>NC_VT!H119</f>
        <v>1792935</v>
      </c>
      <c r="D48" s="362">
        <f>NC_VT!H120</f>
        <v>192500</v>
      </c>
      <c r="E48" s="364"/>
      <c r="F48" s="364"/>
      <c r="G48" s="362">
        <f t="shared" si="5"/>
        <v>1985435</v>
      </c>
      <c r="H48" s="362">
        <f t="shared" si="6"/>
        <v>297815.25</v>
      </c>
      <c r="I48" s="453"/>
      <c r="J48" s="362">
        <f t="shared" si="8"/>
        <v>2283250.25</v>
      </c>
    </row>
    <row r="49" spans="1:12" ht="33" x14ac:dyDescent="0.25">
      <c r="A49" s="536" t="s">
        <v>206</v>
      </c>
      <c r="B49" s="528" t="s">
        <v>55</v>
      </c>
      <c r="C49" s="363">
        <f>NC_VT!H123</f>
        <v>882360</v>
      </c>
      <c r="D49" s="362">
        <f>NC_VT!H124</f>
        <v>83000</v>
      </c>
      <c r="E49" s="364"/>
      <c r="F49" s="364"/>
      <c r="G49" s="362">
        <f t="shared" si="5"/>
        <v>965360</v>
      </c>
      <c r="H49" s="362">
        <f t="shared" si="6"/>
        <v>144804</v>
      </c>
      <c r="I49" s="453"/>
      <c r="J49" s="362">
        <f t="shared" si="8"/>
        <v>1110164</v>
      </c>
    </row>
    <row r="50" spans="1:12" ht="66" x14ac:dyDescent="0.25">
      <c r="A50" s="536" t="s">
        <v>207</v>
      </c>
      <c r="B50" s="339" t="s">
        <v>75</v>
      </c>
      <c r="C50" s="363">
        <f>NC_VT!H127</f>
        <v>284715</v>
      </c>
      <c r="D50" s="364"/>
      <c r="E50" s="364"/>
      <c r="F50" s="364"/>
      <c r="G50" s="362">
        <f t="shared" si="5"/>
        <v>284715</v>
      </c>
      <c r="H50" s="362">
        <f t="shared" si="6"/>
        <v>42707.25</v>
      </c>
      <c r="I50" s="453"/>
      <c r="J50" s="362">
        <f t="shared" si="8"/>
        <v>327422.25</v>
      </c>
      <c r="K50" s="724" t="s">
        <v>258</v>
      </c>
      <c r="L50" s="725"/>
    </row>
    <row r="51" spans="1:12" ht="33" x14ac:dyDescent="0.25">
      <c r="A51" s="565" t="s">
        <v>262</v>
      </c>
      <c r="B51" s="448" t="str">
        <f>NC_VT!B128</f>
        <v>Giao đất trên thực địa cho người trúng đấu giá</v>
      </c>
      <c r="C51" s="567"/>
      <c r="D51" s="567"/>
      <c r="E51" s="567"/>
      <c r="F51" s="549"/>
      <c r="G51" s="549"/>
      <c r="H51" s="549"/>
      <c r="I51" s="362"/>
      <c r="J51" s="362"/>
      <c r="K51" s="545"/>
      <c r="L51" s="556"/>
    </row>
    <row r="52" spans="1:12" ht="18.75" x14ac:dyDescent="0.25">
      <c r="A52" s="565"/>
      <c r="B52" s="568" t="s">
        <v>154</v>
      </c>
      <c r="C52" s="566">
        <f>NC_VT!H128</f>
        <v>597645</v>
      </c>
      <c r="D52" s="549">
        <f>NC_VT!H130</f>
        <v>0</v>
      </c>
      <c r="E52" s="567"/>
      <c r="F52" s="549"/>
      <c r="G52" s="362">
        <f t="shared" ref="G52:G60" si="9">SUM(C52:F52)</f>
        <v>597645</v>
      </c>
      <c r="H52" s="362">
        <f t="shared" ref="H52:H60" si="10">G52*15%</f>
        <v>89646.75</v>
      </c>
      <c r="I52" s="362"/>
      <c r="J52" s="362">
        <f t="shared" si="8"/>
        <v>687291.75</v>
      </c>
      <c r="K52" s="545"/>
      <c r="L52" s="556"/>
    </row>
    <row r="53" spans="1:12" ht="18.75" x14ac:dyDescent="0.25">
      <c r="A53" s="565"/>
      <c r="B53" s="568" t="s">
        <v>155</v>
      </c>
      <c r="C53" s="566">
        <f>NC_VT!H128</f>
        <v>597645</v>
      </c>
      <c r="D53" s="549">
        <f>NC_VT!H131</f>
        <v>21350</v>
      </c>
      <c r="E53" s="549">
        <f>NC_VT!H141</f>
        <v>160000</v>
      </c>
      <c r="F53" s="549"/>
      <c r="G53" s="362">
        <f t="shared" si="9"/>
        <v>778995</v>
      </c>
      <c r="H53" s="362">
        <f t="shared" si="10"/>
        <v>116849.25</v>
      </c>
      <c r="I53" s="362"/>
      <c r="J53" s="362">
        <f t="shared" si="8"/>
        <v>895844.25</v>
      </c>
      <c r="K53" s="545"/>
      <c r="L53" s="556"/>
    </row>
    <row r="54" spans="1:12" ht="18.75" x14ac:dyDescent="0.25">
      <c r="A54" s="565"/>
      <c r="B54" s="568" t="s">
        <v>156</v>
      </c>
      <c r="C54" s="566">
        <f>NC_VT!H128</f>
        <v>597645</v>
      </c>
      <c r="D54" s="549">
        <f>NC_VT!H132</f>
        <v>29890</v>
      </c>
      <c r="E54" s="549">
        <f>NC_VT!H141</f>
        <v>160000</v>
      </c>
      <c r="F54" s="549"/>
      <c r="G54" s="362">
        <f t="shared" si="9"/>
        <v>787535</v>
      </c>
      <c r="H54" s="362">
        <f t="shared" si="10"/>
        <v>118130.25</v>
      </c>
      <c r="I54" s="362"/>
      <c r="J54" s="362">
        <f t="shared" si="8"/>
        <v>905665.25</v>
      </c>
      <c r="K54" s="545"/>
      <c r="L54" s="556"/>
    </row>
    <row r="55" spans="1:12" ht="18.75" x14ac:dyDescent="0.25">
      <c r="A55" s="565"/>
      <c r="B55" s="568" t="s">
        <v>157</v>
      </c>
      <c r="C55" s="566">
        <f>NC_VT!H128</f>
        <v>597645</v>
      </c>
      <c r="D55" s="549">
        <f>NC_VT!H133</f>
        <v>40565</v>
      </c>
      <c r="E55" s="549">
        <f>NC_VT!H141</f>
        <v>160000</v>
      </c>
      <c r="F55" s="549"/>
      <c r="G55" s="362">
        <f t="shared" si="9"/>
        <v>798210</v>
      </c>
      <c r="H55" s="362">
        <f t="shared" si="10"/>
        <v>119731.5</v>
      </c>
      <c r="I55" s="362"/>
      <c r="J55" s="362">
        <f t="shared" si="8"/>
        <v>917941.5</v>
      </c>
      <c r="K55" s="545"/>
      <c r="L55" s="556"/>
    </row>
    <row r="56" spans="1:12" ht="18.75" x14ac:dyDescent="0.25">
      <c r="A56" s="565"/>
      <c r="B56" s="568" t="s">
        <v>158</v>
      </c>
      <c r="C56" s="566">
        <f>NC_VT!H128</f>
        <v>597645</v>
      </c>
      <c r="D56" s="549">
        <f>NC_VT!H134</f>
        <v>42700</v>
      </c>
      <c r="E56" s="549">
        <f>NC_VT!H141</f>
        <v>160000</v>
      </c>
      <c r="F56" s="549"/>
      <c r="G56" s="362">
        <f t="shared" si="9"/>
        <v>800345</v>
      </c>
      <c r="H56" s="362">
        <f t="shared" si="10"/>
        <v>120051.75</v>
      </c>
      <c r="I56" s="362"/>
      <c r="J56" s="362">
        <f t="shared" si="8"/>
        <v>920396.75</v>
      </c>
      <c r="K56" s="545"/>
      <c r="L56" s="556"/>
    </row>
    <row r="57" spans="1:12" ht="18.75" x14ac:dyDescent="0.25">
      <c r="A57" s="565"/>
      <c r="B57" s="568" t="s">
        <v>164</v>
      </c>
      <c r="C57" s="566">
        <f>NC_VT!H128</f>
        <v>597645</v>
      </c>
      <c r="D57" s="549">
        <f>NC_VT!H135</f>
        <v>51240</v>
      </c>
      <c r="E57" s="549">
        <f>NC_VT!H141</f>
        <v>160000</v>
      </c>
      <c r="F57" s="549"/>
      <c r="G57" s="362">
        <f t="shared" si="9"/>
        <v>808885</v>
      </c>
      <c r="H57" s="362">
        <f t="shared" si="10"/>
        <v>121332.75</v>
      </c>
      <c r="I57" s="362"/>
      <c r="J57" s="362">
        <f t="shared" si="8"/>
        <v>930217.75</v>
      </c>
      <c r="K57" s="545"/>
      <c r="L57" s="556"/>
    </row>
    <row r="58" spans="1:12" ht="18.75" x14ac:dyDescent="0.25">
      <c r="A58" s="565"/>
      <c r="B58" s="568" t="s">
        <v>160</v>
      </c>
      <c r="C58" s="566">
        <f>NC_VT!H128</f>
        <v>597645</v>
      </c>
      <c r="D58" s="549">
        <f>NC_VT!H136</f>
        <v>64050</v>
      </c>
      <c r="E58" s="549">
        <f>NC_VT!H140</f>
        <v>200000</v>
      </c>
      <c r="F58" s="549"/>
      <c r="G58" s="362">
        <f t="shared" si="9"/>
        <v>861695</v>
      </c>
      <c r="H58" s="362">
        <f t="shared" si="10"/>
        <v>129254.25</v>
      </c>
      <c r="I58" s="362"/>
      <c r="J58" s="362">
        <f t="shared" si="8"/>
        <v>990949.25</v>
      </c>
      <c r="K58" s="545"/>
      <c r="L58" s="556"/>
    </row>
    <row r="59" spans="1:12" ht="18.75" x14ac:dyDescent="0.25">
      <c r="A59" s="565"/>
      <c r="B59" s="568" t="s">
        <v>163</v>
      </c>
      <c r="C59" s="566">
        <f>NC_VT!H128</f>
        <v>597645</v>
      </c>
      <c r="D59" s="549">
        <f>NC_VT!H137</f>
        <v>70455</v>
      </c>
      <c r="E59" s="549">
        <f>NC_VT!H140</f>
        <v>200000</v>
      </c>
      <c r="F59" s="549"/>
      <c r="G59" s="362">
        <f t="shared" si="9"/>
        <v>868100</v>
      </c>
      <c r="H59" s="362">
        <f t="shared" si="10"/>
        <v>130215</v>
      </c>
      <c r="I59" s="362"/>
      <c r="J59" s="362">
        <f t="shared" si="8"/>
        <v>998315</v>
      </c>
      <c r="K59" s="545"/>
      <c r="L59" s="556"/>
    </row>
    <row r="60" spans="1:12" ht="18.75" x14ac:dyDescent="0.25">
      <c r="A60" s="565"/>
      <c r="B60" s="568" t="s">
        <v>162</v>
      </c>
      <c r="C60" s="566">
        <f>NC_VT!H128</f>
        <v>597645</v>
      </c>
      <c r="D60" s="549">
        <f>NC_VT!H138</f>
        <v>83265</v>
      </c>
      <c r="E60" s="549">
        <f>NC_VT!H140</f>
        <v>200000</v>
      </c>
      <c r="F60" s="549"/>
      <c r="G60" s="362">
        <f t="shared" si="9"/>
        <v>880910</v>
      </c>
      <c r="H60" s="362">
        <f t="shared" si="10"/>
        <v>132136.5</v>
      </c>
      <c r="I60" s="362"/>
      <c r="J60" s="362">
        <f t="shared" si="8"/>
        <v>1013046.5</v>
      </c>
      <c r="K60" s="545"/>
      <c r="L60" s="556"/>
    </row>
    <row r="61" spans="1:12" ht="33" x14ac:dyDescent="0.25">
      <c r="A61" s="533">
        <v>2</v>
      </c>
      <c r="B61" s="535" t="s">
        <v>203</v>
      </c>
      <c r="C61" s="367"/>
      <c r="D61" s="365"/>
      <c r="E61" s="365"/>
      <c r="F61" s="365"/>
      <c r="G61" s="365"/>
      <c r="H61" s="365"/>
      <c r="I61" s="449"/>
      <c r="J61" s="366"/>
      <c r="K61" s="547" t="s">
        <v>181</v>
      </c>
      <c r="L61" s="554" t="s">
        <v>238</v>
      </c>
    </row>
    <row r="62" spans="1:12" ht="33" x14ac:dyDescent="0.25">
      <c r="A62" s="536" t="s">
        <v>208</v>
      </c>
      <c r="B62" s="528" t="s">
        <v>72</v>
      </c>
      <c r="C62" s="363"/>
      <c r="D62" s="363"/>
      <c r="E62" s="362"/>
      <c r="F62" s="362"/>
      <c r="G62" s="362"/>
      <c r="H62" s="362"/>
      <c r="I62" s="453"/>
      <c r="J62" s="362"/>
      <c r="K62" s="391">
        <f>J8+J17+J18+J19+J20+J63+J64+J65+J66+J68+J69+J70+J71+J73+J74+J76+J85</f>
        <v>121891086.34999998</v>
      </c>
      <c r="L62" s="391">
        <f>J16+J17+J18+J19+J20+J63+J64+J65+J66+J68+J69+J70+J71+J73+J74+J84+J85</f>
        <v>124190614.84999998</v>
      </c>
    </row>
    <row r="63" spans="1:12" ht="66" x14ac:dyDescent="0.25">
      <c r="A63" s="536" t="s">
        <v>215</v>
      </c>
      <c r="B63" s="528" t="s">
        <v>214</v>
      </c>
      <c r="C63" s="363">
        <v>1792024</v>
      </c>
      <c r="D63" s="362">
        <v>295000</v>
      </c>
      <c r="E63" s="364"/>
      <c r="F63" s="364"/>
      <c r="G63" s="362">
        <f>SUM(C63:F63)</f>
        <v>2087024</v>
      </c>
      <c r="H63" s="362">
        <f>G63*15%</f>
        <v>313053.59999999998</v>
      </c>
      <c r="I63" s="453">
        <v>3</v>
      </c>
      <c r="J63" s="362">
        <f>(G63+H63)*2</f>
        <v>4800155.2</v>
      </c>
    </row>
    <row r="64" spans="1:12" ht="66" x14ac:dyDescent="0.25">
      <c r="A64" s="536" t="s">
        <v>216</v>
      </c>
      <c r="B64" s="528" t="s">
        <v>200</v>
      </c>
      <c r="C64" s="363">
        <v>471362</v>
      </c>
      <c r="D64" s="362">
        <v>192500</v>
      </c>
      <c r="E64" s="364"/>
      <c r="F64" s="364"/>
      <c r="G64" s="362">
        <f>SUM(C64:F64)</f>
        <v>663862</v>
      </c>
      <c r="H64" s="362">
        <f>G64*15%</f>
        <v>99579.3</v>
      </c>
      <c r="I64" s="453"/>
      <c r="J64" s="362">
        <f>G64+H64</f>
        <v>763441.3</v>
      </c>
    </row>
    <row r="65" spans="1:10" ht="82.5" x14ac:dyDescent="0.25">
      <c r="A65" s="536" t="s">
        <v>209</v>
      </c>
      <c r="B65" s="528" t="s">
        <v>165</v>
      </c>
      <c r="C65" s="363">
        <v>942724</v>
      </c>
      <c r="D65" s="362">
        <v>75500</v>
      </c>
      <c r="E65" s="364"/>
      <c r="F65" s="364"/>
      <c r="G65" s="362">
        <f>SUM(C65:F65)</f>
        <v>1018224</v>
      </c>
      <c r="H65" s="362">
        <f>G65*15%</f>
        <v>152733.6</v>
      </c>
      <c r="I65" s="453"/>
      <c r="J65" s="362">
        <f>G65+H65</f>
        <v>1170957.6000000001</v>
      </c>
    </row>
    <row r="66" spans="1:10" ht="70.5" customHeight="1" x14ac:dyDescent="0.25">
      <c r="A66" s="536" t="s">
        <v>210</v>
      </c>
      <c r="B66" s="528" t="s">
        <v>248</v>
      </c>
      <c r="C66" s="363">
        <v>2828172</v>
      </c>
      <c r="D66" s="362">
        <v>290000</v>
      </c>
      <c r="E66" s="364"/>
      <c r="F66" s="364"/>
      <c r="G66" s="362">
        <f>SUM(C66:F66)</f>
        <v>3118172</v>
      </c>
      <c r="H66" s="362">
        <f>G66*15%</f>
        <v>467725.8</v>
      </c>
      <c r="I66" s="453"/>
      <c r="J66" s="362">
        <f>G66+H66</f>
        <v>3585897.8</v>
      </c>
    </row>
    <row r="67" spans="1:10" ht="82.5" x14ac:dyDescent="0.25">
      <c r="A67" s="536" t="s">
        <v>211</v>
      </c>
      <c r="B67" s="339" t="s">
        <v>213</v>
      </c>
      <c r="C67" s="363"/>
      <c r="D67" s="364"/>
      <c r="E67" s="364"/>
      <c r="F67" s="364"/>
      <c r="G67" s="362"/>
      <c r="H67" s="362"/>
      <c r="I67" s="453"/>
      <c r="J67" s="362"/>
    </row>
    <row r="68" spans="1:10" ht="66" x14ac:dyDescent="0.25">
      <c r="A68" s="536" t="s">
        <v>217</v>
      </c>
      <c r="B68" s="528" t="s">
        <v>50</v>
      </c>
      <c r="C68" s="363">
        <v>2828172</v>
      </c>
      <c r="D68" s="362">
        <v>502500</v>
      </c>
      <c r="E68" s="364"/>
      <c r="F68" s="364"/>
      <c r="G68" s="362">
        <f>SUM(C68:F68)</f>
        <v>3330672</v>
      </c>
      <c r="H68" s="362">
        <f>G68*15%</f>
        <v>499600.8</v>
      </c>
      <c r="I68" s="453">
        <v>3</v>
      </c>
      <c r="J68" s="362">
        <f>(G68+H68)*I68</f>
        <v>11490818.399999999</v>
      </c>
    </row>
    <row r="69" spans="1:10" ht="49.5" x14ac:dyDescent="0.25">
      <c r="A69" s="536" t="s">
        <v>218</v>
      </c>
      <c r="B69" s="538" t="s">
        <v>51</v>
      </c>
      <c r="C69" s="363">
        <v>3535215</v>
      </c>
      <c r="D69" s="362">
        <v>212500</v>
      </c>
      <c r="E69" s="364"/>
      <c r="F69" s="364"/>
      <c r="G69" s="362">
        <f>SUM(C69:F69)</f>
        <v>3747715</v>
      </c>
      <c r="H69" s="362">
        <f>G69*15%</f>
        <v>562157.25</v>
      </c>
      <c r="I69" s="453">
        <v>3</v>
      </c>
      <c r="J69" s="362">
        <f>(G69+H69)*I69</f>
        <v>12929616.75</v>
      </c>
    </row>
    <row r="70" spans="1:10" ht="33" x14ac:dyDescent="0.25">
      <c r="A70" s="536" t="s">
        <v>219</v>
      </c>
      <c r="B70" s="528" t="s">
        <v>52</v>
      </c>
      <c r="C70" s="363">
        <v>494718</v>
      </c>
      <c r="D70" s="362">
        <v>100000</v>
      </c>
      <c r="E70" s="364"/>
      <c r="F70" s="364"/>
      <c r="G70" s="362">
        <f>SUM(C70:F70)</f>
        <v>594718</v>
      </c>
      <c r="H70" s="362">
        <f>G70*15%</f>
        <v>89207.7</v>
      </c>
      <c r="I70" s="453">
        <v>3</v>
      </c>
      <c r="J70" s="362">
        <f>(G70+H70)*I70</f>
        <v>2051777.0999999999</v>
      </c>
    </row>
    <row r="71" spans="1:10" ht="49.5" x14ac:dyDescent="0.25">
      <c r="A71" s="536" t="s">
        <v>220</v>
      </c>
      <c r="B71" s="528" t="s">
        <v>53</v>
      </c>
      <c r="C71" s="363">
        <v>1460798</v>
      </c>
      <c r="D71" s="362">
        <v>295000</v>
      </c>
      <c r="E71" s="364"/>
      <c r="F71" s="364"/>
      <c r="G71" s="362">
        <f>SUM(C71:F71)</f>
        <v>1755798</v>
      </c>
      <c r="H71" s="362">
        <f>G71*15%</f>
        <v>263369.7</v>
      </c>
      <c r="I71" s="453">
        <v>3</v>
      </c>
      <c r="J71" s="362">
        <f>(G71+H71)*I71</f>
        <v>6057503.0999999996</v>
      </c>
    </row>
    <row r="72" spans="1:10" ht="222.75" customHeight="1" x14ac:dyDescent="0.25">
      <c r="A72" s="536" t="s">
        <v>212</v>
      </c>
      <c r="B72" s="339" t="s">
        <v>54</v>
      </c>
      <c r="C72" s="363"/>
      <c r="D72" s="364"/>
      <c r="E72" s="364"/>
      <c r="F72" s="364"/>
      <c r="G72" s="362"/>
      <c r="H72" s="362"/>
      <c r="I72" s="453"/>
      <c r="J72" s="362"/>
    </row>
    <row r="73" spans="1:10" ht="132" x14ac:dyDescent="0.25">
      <c r="A73" s="536" t="s">
        <v>221</v>
      </c>
      <c r="B73" s="528" t="s">
        <v>202</v>
      </c>
      <c r="C73" s="363">
        <v>2828172</v>
      </c>
      <c r="D73" s="362">
        <v>202500</v>
      </c>
      <c r="E73" s="364"/>
      <c r="F73" s="364"/>
      <c r="G73" s="362">
        <f>SUM(C73:F73)</f>
        <v>3030672</v>
      </c>
      <c r="H73" s="362">
        <f>G73*15%</f>
        <v>454600.8</v>
      </c>
      <c r="I73" s="453">
        <v>3</v>
      </c>
      <c r="J73" s="362">
        <f t="shared" ref="J73:J84" si="11">(G73+H73)*I73</f>
        <v>10455818.399999999</v>
      </c>
    </row>
    <row r="74" spans="1:10" ht="33" x14ac:dyDescent="0.25">
      <c r="A74" s="536" t="s">
        <v>222</v>
      </c>
      <c r="B74" s="528" t="s">
        <v>67</v>
      </c>
      <c r="C74" s="363">
        <v>3770896</v>
      </c>
      <c r="D74" s="362">
        <v>202500</v>
      </c>
      <c r="E74" s="364"/>
      <c r="F74" s="364"/>
      <c r="G74" s="362">
        <f>SUM(C74:F74)</f>
        <v>3973396</v>
      </c>
      <c r="H74" s="362">
        <f>G74*15%</f>
        <v>596009.4</v>
      </c>
      <c r="I74" s="453">
        <v>3</v>
      </c>
      <c r="J74" s="362">
        <f t="shared" si="11"/>
        <v>13708216.200000001</v>
      </c>
    </row>
    <row r="75" spans="1:10" ht="33" x14ac:dyDescent="0.25">
      <c r="A75" s="536" t="s">
        <v>223</v>
      </c>
      <c r="B75" s="529" t="s">
        <v>133</v>
      </c>
      <c r="C75" s="451"/>
      <c r="D75" s="452"/>
      <c r="E75" s="452"/>
      <c r="F75" s="364"/>
      <c r="G75" s="365"/>
      <c r="H75" s="365"/>
      <c r="I75" s="449"/>
      <c r="J75" s="362"/>
    </row>
    <row r="76" spans="1:10" ht="18.75" x14ac:dyDescent="0.25">
      <c r="A76" s="536"/>
      <c r="B76" s="530" t="s">
        <v>154</v>
      </c>
      <c r="C76" s="363">
        <v>707043</v>
      </c>
      <c r="D76" s="364"/>
      <c r="E76" s="362">
        <v>0</v>
      </c>
      <c r="F76" s="364"/>
      <c r="G76" s="362">
        <f t="shared" ref="G76:G85" si="12">SUM(C76:F76)</f>
        <v>707043</v>
      </c>
      <c r="H76" s="362">
        <f t="shared" ref="H76:H85" si="13">G76*15%</f>
        <v>106056.45</v>
      </c>
      <c r="I76" s="453">
        <v>3</v>
      </c>
      <c r="J76" s="362">
        <f t="shared" si="11"/>
        <v>2439298.3499999996</v>
      </c>
    </row>
    <row r="77" spans="1:10" ht="18.75" x14ac:dyDescent="0.25">
      <c r="A77" s="536"/>
      <c r="B77" s="530" t="s">
        <v>155</v>
      </c>
      <c r="C77" s="363">
        <v>707043</v>
      </c>
      <c r="D77" s="364"/>
      <c r="E77" s="362">
        <v>21350</v>
      </c>
      <c r="F77" s="362">
        <v>80000</v>
      </c>
      <c r="G77" s="362">
        <f t="shared" si="12"/>
        <v>808393</v>
      </c>
      <c r="H77" s="362">
        <f t="shared" si="13"/>
        <v>121258.95</v>
      </c>
      <c r="I77" s="453">
        <v>3</v>
      </c>
      <c r="J77" s="362">
        <f t="shared" si="11"/>
        <v>2788955.8499999996</v>
      </c>
    </row>
    <row r="78" spans="1:10" ht="18.75" x14ac:dyDescent="0.25">
      <c r="A78" s="536"/>
      <c r="B78" s="530" t="s">
        <v>156</v>
      </c>
      <c r="C78" s="363">
        <v>707043</v>
      </c>
      <c r="D78" s="364"/>
      <c r="E78" s="362">
        <v>29890</v>
      </c>
      <c r="F78" s="362">
        <v>80000</v>
      </c>
      <c r="G78" s="362">
        <f t="shared" si="12"/>
        <v>816933</v>
      </c>
      <c r="H78" s="362">
        <f t="shared" si="13"/>
        <v>122539.95</v>
      </c>
      <c r="I78" s="453">
        <v>3</v>
      </c>
      <c r="J78" s="362">
        <f t="shared" si="11"/>
        <v>2818418.8499999996</v>
      </c>
    </row>
    <row r="79" spans="1:10" ht="18.75" x14ac:dyDescent="0.25">
      <c r="A79" s="536"/>
      <c r="B79" s="530" t="s">
        <v>157</v>
      </c>
      <c r="C79" s="363">
        <v>707043</v>
      </c>
      <c r="D79" s="364"/>
      <c r="E79" s="362">
        <v>40565</v>
      </c>
      <c r="F79" s="362">
        <v>80000</v>
      </c>
      <c r="G79" s="362">
        <f t="shared" si="12"/>
        <v>827608</v>
      </c>
      <c r="H79" s="362">
        <f t="shared" si="13"/>
        <v>124141.2</v>
      </c>
      <c r="I79" s="453">
        <v>3</v>
      </c>
      <c r="J79" s="362">
        <f t="shared" si="11"/>
        <v>2855247.5999999996</v>
      </c>
    </row>
    <row r="80" spans="1:10" ht="18.75" x14ac:dyDescent="0.25">
      <c r="A80" s="536"/>
      <c r="B80" s="530" t="s">
        <v>158</v>
      </c>
      <c r="C80" s="363">
        <v>707043</v>
      </c>
      <c r="D80" s="364"/>
      <c r="E80" s="362">
        <v>42700</v>
      </c>
      <c r="F80" s="362">
        <v>80000</v>
      </c>
      <c r="G80" s="362">
        <f t="shared" si="12"/>
        <v>829743</v>
      </c>
      <c r="H80" s="362">
        <f t="shared" si="13"/>
        <v>124461.45</v>
      </c>
      <c r="I80" s="453">
        <v>3</v>
      </c>
      <c r="J80" s="362">
        <f t="shared" si="11"/>
        <v>2862613.3499999996</v>
      </c>
    </row>
    <row r="81" spans="1:10" ht="18.75" x14ac:dyDescent="0.25">
      <c r="A81" s="536"/>
      <c r="B81" s="530" t="s">
        <v>164</v>
      </c>
      <c r="C81" s="363">
        <v>707043</v>
      </c>
      <c r="D81" s="364"/>
      <c r="E81" s="362">
        <v>51240</v>
      </c>
      <c r="F81" s="362">
        <v>80000</v>
      </c>
      <c r="G81" s="362">
        <f t="shared" si="12"/>
        <v>838283</v>
      </c>
      <c r="H81" s="362">
        <f t="shared" si="13"/>
        <v>125742.45</v>
      </c>
      <c r="I81" s="453">
        <v>3</v>
      </c>
      <c r="J81" s="362">
        <f t="shared" si="11"/>
        <v>2892076.3499999996</v>
      </c>
    </row>
    <row r="82" spans="1:10" ht="18.75" x14ac:dyDescent="0.25">
      <c r="A82" s="536"/>
      <c r="B82" s="530" t="s">
        <v>160</v>
      </c>
      <c r="C82" s="363">
        <v>707043</v>
      </c>
      <c r="D82" s="364"/>
      <c r="E82" s="362">
        <v>64050</v>
      </c>
      <c r="F82" s="362">
        <v>100000</v>
      </c>
      <c r="G82" s="362">
        <f t="shared" si="12"/>
        <v>871093</v>
      </c>
      <c r="H82" s="362">
        <f t="shared" si="13"/>
        <v>130663.95</v>
      </c>
      <c r="I82" s="453">
        <v>3</v>
      </c>
      <c r="J82" s="362">
        <f t="shared" si="11"/>
        <v>3005270.8499999996</v>
      </c>
    </row>
    <row r="83" spans="1:10" ht="18.75" x14ac:dyDescent="0.25">
      <c r="A83" s="536"/>
      <c r="B83" s="530" t="s">
        <v>163</v>
      </c>
      <c r="C83" s="363">
        <v>707043</v>
      </c>
      <c r="D83" s="364"/>
      <c r="E83" s="362">
        <v>70455</v>
      </c>
      <c r="F83" s="362">
        <v>100000</v>
      </c>
      <c r="G83" s="362">
        <f t="shared" si="12"/>
        <v>877498</v>
      </c>
      <c r="H83" s="362">
        <f t="shared" si="13"/>
        <v>131624.69999999998</v>
      </c>
      <c r="I83" s="453">
        <v>3</v>
      </c>
      <c r="J83" s="362">
        <f t="shared" si="11"/>
        <v>3027368.0999999996</v>
      </c>
    </row>
    <row r="84" spans="1:10" ht="18.75" x14ac:dyDescent="0.25">
      <c r="A84" s="536"/>
      <c r="B84" s="530" t="s">
        <v>162</v>
      </c>
      <c r="C84" s="363">
        <v>707043</v>
      </c>
      <c r="D84" s="364"/>
      <c r="E84" s="362">
        <v>83265</v>
      </c>
      <c r="F84" s="362">
        <v>100000</v>
      </c>
      <c r="G84" s="362">
        <f t="shared" si="12"/>
        <v>890308</v>
      </c>
      <c r="H84" s="362">
        <f t="shared" si="13"/>
        <v>133546.19999999998</v>
      </c>
      <c r="I84" s="453">
        <v>3</v>
      </c>
      <c r="J84" s="362">
        <f t="shared" si="11"/>
        <v>3071562.5999999996</v>
      </c>
    </row>
    <row r="85" spans="1:10" ht="33" x14ac:dyDescent="0.25">
      <c r="A85" s="536" t="s">
        <v>224</v>
      </c>
      <c r="B85" s="528" t="s">
        <v>130</v>
      </c>
      <c r="C85" s="363">
        <v>1414086</v>
      </c>
      <c r="D85" s="362">
        <v>192500</v>
      </c>
      <c r="E85" s="364"/>
      <c r="F85" s="364"/>
      <c r="G85" s="362">
        <f t="shared" si="12"/>
        <v>1606586</v>
      </c>
      <c r="H85" s="362">
        <f t="shared" si="13"/>
        <v>240987.9</v>
      </c>
      <c r="I85" s="453"/>
      <c r="J85" s="362">
        <f>G85+H85</f>
        <v>1847573.9</v>
      </c>
    </row>
  </sheetData>
  <mergeCells count="6">
    <mergeCell ref="A1:J1"/>
    <mergeCell ref="A2:J2"/>
    <mergeCell ref="A7:A16"/>
    <mergeCell ref="A36:A45"/>
    <mergeCell ref="K50:L50"/>
    <mergeCell ref="K5:L5"/>
  </mergeCells>
  <pageMargins left="0.24" right="0.16" top="0.27" bottom="0.37" header="0.2" footer="0.2"/>
  <pageSetup paperSize="9" scale="95" orientation="landscape" r:id="rId1"/>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topLeftCell="A37" workbookViewId="0">
      <selection activeCell="A46" sqref="A46"/>
    </sheetView>
  </sheetViews>
  <sheetFormatPr defaultColWidth="9" defaultRowHeight="16.5" x14ac:dyDescent="0.25"/>
  <cols>
    <col min="1" max="1" width="5.75" style="340" bestFit="1" customWidth="1"/>
    <col min="2" max="2" width="27.25" style="340" customWidth="1"/>
    <col min="3" max="3" width="10.75" style="388" bestFit="1" customWidth="1"/>
    <col min="4" max="4" width="9" style="340"/>
    <col min="5" max="5" width="10.125" style="340" customWidth="1"/>
    <col min="6" max="6" width="9.875" style="340" customWidth="1"/>
    <col min="7" max="7" width="11.125" style="340" bestFit="1" customWidth="1"/>
    <col min="8" max="8" width="11.875" style="340" customWidth="1"/>
    <col min="9" max="9" width="7.5" style="522" customWidth="1"/>
    <col min="10" max="10" width="14" style="386" bestFit="1" customWidth="1"/>
    <col min="11" max="11" width="12.5" style="340" customWidth="1"/>
    <col min="12" max="12" width="12" style="340" customWidth="1"/>
    <col min="13" max="13" width="10" style="340" bestFit="1" customWidth="1"/>
    <col min="14" max="16384" width="9" style="340"/>
  </cols>
  <sheetData>
    <row r="1" spans="1:12" x14ac:dyDescent="0.25">
      <c r="A1" s="739" t="s">
        <v>237</v>
      </c>
      <c r="B1" s="739"/>
      <c r="C1" s="739"/>
      <c r="D1" s="739"/>
      <c r="E1" s="739"/>
      <c r="F1" s="739"/>
      <c r="G1" s="739"/>
      <c r="H1" s="739"/>
      <c r="I1" s="739"/>
      <c r="J1" s="739"/>
    </row>
    <row r="2" spans="1:12" ht="38.25" customHeight="1" x14ac:dyDescent="0.25">
      <c r="A2" s="740" t="s">
        <v>185</v>
      </c>
      <c r="B2" s="740"/>
      <c r="C2" s="740"/>
      <c r="D2" s="740"/>
      <c r="E2" s="740"/>
      <c r="F2" s="740"/>
      <c r="G2" s="740"/>
      <c r="H2" s="740"/>
      <c r="I2" s="740"/>
      <c r="J2" s="740"/>
    </row>
    <row r="3" spans="1:12" x14ac:dyDescent="0.25">
      <c r="A3" s="341"/>
      <c r="B3" s="341"/>
      <c r="C3" s="342"/>
      <c r="D3" s="341"/>
      <c r="E3" s="341"/>
      <c r="F3" s="341"/>
      <c r="G3" s="341"/>
      <c r="H3" s="341"/>
      <c r="I3" s="341"/>
      <c r="J3" s="450" t="s">
        <v>118</v>
      </c>
    </row>
    <row r="4" spans="1:12" ht="48.6" customHeight="1" x14ac:dyDescent="0.25">
      <c r="A4" s="344" t="s">
        <v>0</v>
      </c>
      <c r="B4" s="344" t="s">
        <v>1</v>
      </c>
      <c r="C4" s="389" t="s">
        <v>119</v>
      </c>
      <c r="D4" s="136" t="s">
        <v>120</v>
      </c>
      <c r="E4" s="136" t="s">
        <v>121</v>
      </c>
      <c r="F4" s="137" t="s">
        <v>122</v>
      </c>
      <c r="G4" s="136" t="s">
        <v>123</v>
      </c>
      <c r="H4" s="136" t="s">
        <v>124</v>
      </c>
      <c r="I4" s="395" t="s">
        <v>86</v>
      </c>
      <c r="J4" s="136" t="s">
        <v>78</v>
      </c>
    </row>
    <row r="5" spans="1:12" x14ac:dyDescent="0.25">
      <c r="A5" s="526" t="s">
        <v>142</v>
      </c>
      <c r="B5" s="527" t="s">
        <v>192</v>
      </c>
      <c r="C5" s="389"/>
      <c r="D5" s="136"/>
      <c r="E5" s="136"/>
      <c r="F5" s="136"/>
      <c r="G5" s="136"/>
      <c r="H5" s="136"/>
      <c r="I5" s="136"/>
      <c r="J5" s="136"/>
      <c r="K5" s="724" t="s">
        <v>257</v>
      </c>
      <c r="L5" s="725"/>
    </row>
    <row r="6" spans="1:12" ht="49.5" x14ac:dyDescent="0.25">
      <c r="A6" s="420">
        <v>1</v>
      </c>
      <c r="B6" s="528" t="s">
        <v>193</v>
      </c>
      <c r="C6" s="389"/>
      <c r="D6" s="136"/>
      <c r="E6" s="136"/>
      <c r="F6" s="136"/>
      <c r="G6" s="136"/>
      <c r="H6" s="136"/>
      <c r="I6" s="136"/>
      <c r="J6" s="136"/>
      <c r="K6" s="554" t="s">
        <v>181</v>
      </c>
      <c r="L6" s="554" t="s">
        <v>238</v>
      </c>
    </row>
    <row r="7" spans="1:12" ht="82.5" x14ac:dyDescent="0.25">
      <c r="A7" s="773" t="s">
        <v>194</v>
      </c>
      <c r="B7" s="529" t="s">
        <v>39</v>
      </c>
      <c r="C7" s="313"/>
      <c r="D7" s="136"/>
      <c r="E7" s="136"/>
      <c r="F7" s="136"/>
      <c r="G7" s="136"/>
      <c r="H7" s="136"/>
      <c r="I7" s="136"/>
      <c r="J7" s="136"/>
      <c r="K7" s="391">
        <f>J8+J17+J18+J19+J20+J24+J25+J26+J27+J29+J30+J31+J32+J34+J35+J37+J46+J47+J48+J49+J50+J52</f>
        <v>197935251.5</v>
      </c>
      <c r="L7" s="391">
        <f>J16+J17+J18+J19+J20+J24+J25+J26+J27+J29+J30+J31+J32+J34+J35+J45+J46+J47+J48+J49+J50+J60</f>
        <v>201327044.25</v>
      </c>
    </row>
    <row r="8" spans="1:12" ht="18.75" x14ac:dyDescent="0.25">
      <c r="A8" s="773"/>
      <c r="B8" s="530" t="s">
        <v>154</v>
      </c>
      <c r="C8" s="315">
        <f>NC_VT!H7</f>
        <v>1138860</v>
      </c>
      <c r="D8" s="322"/>
      <c r="E8" s="322">
        <f>NC_VT!H13</f>
        <v>0</v>
      </c>
      <c r="F8" s="322"/>
      <c r="G8" s="362">
        <f>SUM(C8:F8)</f>
        <v>1138860</v>
      </c>
      <c r="H8" s="362">
        <f>G8*15%</f>
        <v>170829</v>
      </c>
      <c r="I8" s="453">
        <v>4</v>
      </c>
      <c r="J8" s="362">
        <f>(G8+H8)*I8</f>
        <v>5238756</v>
      </c>
      <c r="L8" s="386"/>
    </row>
    <row r="9" spans="1:12" ht="18.75" x14ac:dyDescent="0.25">
      <c r="A9" s="773"/>
      <c r="B9" s="530" t="s">
        <v>155</v>
      </c>
      <c r="C9" s="315">
        <f>NC_VT!H7</f>
        <v>1138860</v>
      </c>
      <c r="D9" s="322"/>
      <c r="E9" s="322">
        <f>NC_VT!H14</f>
        <v>21350</v>
      </c>
      <c r="F9" s="322">
        <f>NC_VT!H24</f>
        <v>320000</v>
      </c>
      <c r="G9" s="362">
        <f>SUM(C9:F9)</f>
        <v>1480210</v>
      </c>
      <c r="H9" s="362">
        <f t="shared" ref="H9:H20" si="0">G9*15%</f>
        <v>222031.5</v>
      </c>
      <c r="I9" s="453">
        <v>4</v>
      </c>
      <c r="J9" s="362">
        <f t="shared" ref="J9:J19" si="1">(G9+H9)*I9</f>
        <v>6808966</v>
      </c>
    </row>
    <row r="10" spans="1:12" ht="18.75" x14ac:dyDescent="0.25">
      <c r="A10" s="773"/>
      <c r="B10" s="530" t="s">
        <v>156</v>
      </c>
      <c r="C10" s="315">
        <f>NC_VT!H7</f>
        <v>1138860</v>
      </c>
      <c r="D10" s="322"/>
      <c r="E10" s="322">
        <f>NC_VT!H15</f>
        <v>29890</v>
      </c>
      <c r="F10" s="322">
        <f>NC_VT!H24</f>
        <v>320000</v>
      </c>
      <c r="G10" s="362">
        <f>SUM(C10:F10)</f>
        <v>1488750</v>
      </c>
      <c r="H10" s="362">
        <f t="shared" si="0"/>
        <v>223312.5</v>
      </c>
      <c r="I10" s="453">
        <v>4</v>
      </c>
      <c r="J10" s="362">
        <f t="shared" si="1"/>
        <v>6848250</v>
      </c>
    </row>
    <row r="11" spans="1:12" ht="18.75" x14ac:dyDescent="0.25">
      <c r="A11" s="773"/>
      <c r="B11" s="530" t="s">
        <v>157</v>
      </c>
      <c r="C11" s="315">
        <f>NC_VT!H7</f>
        <v>1138860</v>
      </c>
      <c r="D11" s="322"/>
      <c r="E11" s="322">
        <f>NC_VT!H16</f>
        <v>40565</v>
      </c>
      <c r="F11" s="322">
        <f>NC_VT!H24</f>
        <v>320000</v>
      </c>
      <c r="G11" s="362">
        <f t="shared" ref="G11:G20" si="2">SUM(C11:F11)</f>
        <v>1499425</v>
      </c>
      <c r="H11" s="362">
        <f t="shared" si="0"/>
        <v>224913.75</v>
      </c>
      <c r="I11" s="453">
        <v>4</v>
      </c>
      <c r="J11" s="362">
        <f t="shared" si="1"/>
        <v>6897355</v>
      </c>
    </row>
    <row r="12" spans="1:12" ht="18.75" x14ac:dyDescent="0.25">
      <c r="A12" s="773"/>
      <c r="B12" s="530" t="s">
        <v>158</v>
      </c>
      <c r="C12" s="315">
        <f>NC_VT!H7</f>
        <v>1138860</v>
      </c>
      <c r="D12" s="322"/>
      <c r="E12" s="322">
        <f>NC_VT!H17</f>
        <v>42700</v>
      </c>
      <c r="F12" s="322">
        <f>NC_VT!H24</f>
        <v>320000</v>
      </c>
      <c r="G12" s="362">
        <f>SUM(C12:F12)</f>
        <v>1501560</v>
      </c>
      <c r="H12" s="362">
        <f t="shared" si="0"/>
        <v>225234</v>
      </c>
      <c r="I12" s="453">
        <v>4</v>
      </c>
      <c r="J12" s="362">
        <f t="shared" si="1"/>
        <v>6907176</v>
      </c>
    </row>
    <row r="13" spans="1:12" ht="18.75" x14ac:dyDescent="0.25">
      <c r="A13" s="773"/>
      <c r="B13" s="530" t="s">
        <v>164</v>
      </c>
      <c r="C13" s="315">
        <f>NC_VT!H7</f>
        <v>1138860</v>
      </c>
      <c r="D13" s="322"/>
      <c r="E13" s="322">
        <f>NC_VT!H18</f>
        <v>51240</v>
      </c>
      <c r="F13" s="322">
        <f>NC_VT!H24</f>
        <v>320000</v>
      </c>
      <c r="G13" s="362">
        <f t="shared" si="2"/>
        <v>1510100</v>
      </c>
      <c r="H13" s="362">
        <f t="shared" si="0"/>
        <v>226515</v>
      </c>
      <c r="I13" s="453">
        <v>4</v>
      </c>
      <c r="J13" s="362">
        <f t="shared" si="1"/>
        <v>6946460</v>
      </c>
    </row>
    <row r="14" spans="1:12" ht="18.75" x14ac:dyDescent="0.25">
      <c r="A14" s="773"/>
      <c r="B14" s="530" t="s">
        <v>160</v>
      </c>
      <c r="C14" s="315">
        <f>NC_VT!H7</f>
        <v>1138860</v>
      </c>
      <c r="D14" s="322"/>
      <c r="E14" s="322">
        <f>NC_VT!H19</f>
        <v>64050</v>
      </c>
      <c r="F14" s="322">
        <f>NC_VT!H23</f>
        <v>400000</v>
      </c>
      <c r="G14" s="362">
        <f t="shared" si="2"/>
        <v>1602910</v>
      </c>
      <c r="H14" s="362">
        <f t="shared" si="0"/>
        <v>240436.5</v>
      </c>
      <c r="I14" s="453">
        <v>4</v>
      </c>
      <c r="J14" s="362">
        <f t="shared" si="1"/>
        <v>7373386</v>
      </c>
    </row>
    <row r="15" spans="1:12" ht="18.75" x14ac:dyDescent="0.25">
      <c r="A15" s="773"/>
      <c r="B15" s="530" t="s">
        <v>163</v>
      </c>
      <c r="C15" s="315">
        <f>NC_VT!H7</f>
        <v>1138860</v>
      </c>
      <c r="D15" s="322"/>
      <c r="E15" s="322">
        <f>NC_VT!H20</f>
        <v>70455</v>
      </c>
      <c r="F15" s="322">
        <f>NC_VT!H23</f>
        <v>400000</v>
      </c>
      <c r="G15" s="362">
        <f t="shared" si="2"/>
        <v>1609315</v>
      </c>
      <c r="H15" s="362">
        <f t="shared" si="0"/>
        <v>241397.25</v>
      </c>
      <c r="I15" s="453">
        <v>4</v>
      </c>
      <c r="J15" s="362">
        <f t="shared" si="1"/>
        <v>7402849</v>
      </c>
    </row>
    <row r="16" spans="1:12" ht="18.75" x14ac:dyDescent="0.25">
      <c r="A16" s="773"/>
      <c r="B16" s="530" t="s">
        <v>162</v>
      </c>
      <c r="C16" s="315">
        <f>NC_VT!H7</f>
        <v>1138860</v>
      </c>
      <c r="D16" s="322"/>
      <c r="E16" s="322">
        <f>NC_VT!H21</f>
        <v>83265</v>
      </c>
      <c r="F16" s="322">
        <f>NC_VT!H23</f>
        <v>400000</v>
      </c>
      <c r="G16" s="362">
        <f t="shared" si="2"/>
        <v>1622125</v>
      </c>
      <c r="H16" s="362">
        <f t="shared" si="0"/>
        <v>243318.75</v>
      </c>
      <c r="I16" s="453">
        <v>4</v>
      </c>
      <c r="J16" s="362">
        <f t="shared" si="1"/>
        <v>7461775</v>
      </c>
    </row>
    <row r="17" spans="1:13" ht="33" x14ac:dyDescent="0.25">
      <c r="A17" s="531" t="s">
        <v>195</v>
      </c>
      <c r="B17" s="528" t="s">
        <v>40</v>
      </c>
      <c r="C17" s="363">
        <f>NC_VT!H25</f>
        <v>3416580</v>
      </c>
      <c r="D17" s="362">
        <f>NC_VT!H26</f>
        <v>204500</v>
      </c>
      <c r="E17" s="362"/>
      <c r="F17" s="362"/>
      <c r="G17" s="362">
        <f t="shared" si="2"/>
        <v>3621080</v>
      </c>
      <c r="H17" s="362">
        <f t="shared" si="0"/>
        <v>543162</v>
      </c>
      <c r="I17" s="453">
        <v>4</v>
      </c>
      <c r="J17" s="362">
        <f t="shared" si="1"/>
        <v>16656968</v>
      </c>
    </row>
    <row r="18" spans="1:13" ht="33" x14ac:dyDescent="0.25">
      <c r="A18" s="531" t="s">
        <v>196</v>
      </c>
      <c r="B18" s="528" t="s">
        <v>41</v>
      </c>
      <c r="C18" s="363">
        <f>NC_VT!H31</f>
        <v>5124870</v>
      </c>
      <c r="D18" s="362">
        <f>NC_VT!H32</f>
        <v>549500</v>
      </c>
      <c r="E18" s="362"/>
      <c r="F18" s="362"/>
      <c r="G18" s="362">
        <f t="shared" si="2"/>
        <v>5674370</v>
      </c>
      <c r="H18" s="362">
        <f t="shared" si="0"/>
        <v>851155.5</v>
      </c>
      <c r="I18" s="453">
        <v>4</v>
      </c>
      <c r="J18" s="362">
        <f t="shared" si="1"/>
        <v>26102102</v>
      </c>
    </row>
    <row r="19" spans="1:13" ht="20.25" customHeight="1" x14ac:dyDescent="0.25">
      <c r="A19" s="532" t="s">
        <v>197</v>
      </c>
      <c r="B19" s="528" t="s">
        <v>42</v>
      </c>
      <c r="C19" s="363">
        <f>NC_VT!H37</f>
        <v>3416580</v>
      </c>
      <c r="D19" s="362">
        <f>NC_VT!H32</f>
        <v>549500</v>
      </c>
      <c r="E19" s="362"/>
      <c r="F19" s="362"/>
      <c r="G19" s="362">
        <f t="shared" si="2"/>
        <v>3966080</v>
      </c>
      <c r="H19" s="362">
        <f t="shared" si="0"/>
        <v>594912</v>
      </c>
      <c r="I19" s="453">
        <v>4</v>
      </c>
      <c r="J19" s="362">
        <f t="shared" si="1"/>
        <v>18243968</v>
      </c>
    </row>
    <row r="20" spans="1:13" ht="33" x14ac:dyDescent="0.25">
      <c r="A20" s="532">
        <v>2</v>
      </c>
      <c r="B20" s="528" t="s">
        <v>43</v>
      </c>
      <c r="C20" s="363">
        <f>NC_VT!H41</f>
        <v>597645</v>
      </c>
      <c r="D20" s="362">
        <f>NC_VT!H42</f>
        <v>192500</v>
      </c>
      <c r="E20" s="362"/>
      <c r="F20" s="362"/>
      <c r="G20" s="362">
        <f t="shared" si="2"/>
        <v>790145</v>
      </c>
      <c r="H20" s="362">
        <f t="shared" si="0"/>
        <v>118521.75</v>
      </c>
      <c r="I20" s="453"/>
      <c r="J20" s="362">
        <f>G20+H20</f>
        <v>908666.75</v>
      </c>
    </row>
    <row r="21" spans="1:13" x14ac:dyDescent="0.25">
      <c r="A21" s="533" t="s">
        <v>144</v>
      </c>
      <c r="B21" s="534" t="s">
        <v>199</v>
      </c>
      <c r="C21" s="363"/>
      <c r="D21" s="363"/>
      <c r="E21" s="362"/>
      <c r="F21" s="362"/>
      <c r="G21" s="362"/>
      <c r="H21" s="362"/>
      <c r="I21" s="453"/>
      <c r="J21" s="362"/>
    </row>
    <row r="22" spans="1:13" ht="21" customHeight="1" x14ac:dyDescent="0.25">
      <c r="A22" s="533">
        <v>1</v>
      </c>
      <c r="B22" s="535" t="s">
        <v>146</v>
      </c>
      <c r="C22" s="363"/>
      <c r="D22" s="363"/>
      <c r="E22" s="362"/>
      <c r="F22" s="362"/>
      <c r="G22" s="362"/>
      <c r="H22" s="362"/>
      <c r="I22" s="453"/>
      <c r="J22" s="362"/>
    </row>
    <row r="23" spans="1:13" ht="33" x14ac:dyDescent="0.25">
      <c r="A23" s="536" t="s">
        <v>194</v>
      </c>
      <c r="B23" s="528" t="s">
        <v>72</v>
      </c>
      <c r="C23" s="363"/>
      <c r="D23" s="363"/>
      <c r="E23" s="362"/>
      <c r="F23" s="362"/>
      <c r="G23" s="362"/>
      <c r="H23" s="362"/>
      <c r="I23" s="453"/>
      <c r="J23" s="362"/>
      <c r="M23" s="391"/>
    </row>
    <row r="24" spans="1:13" ht="66" x14ac:dyDescent="0.25">
      <c r="A24" s="536" t="s">
        <v>225</v>
      </c>
      <c r="B24" s="528" t="s">
        <v>214</v>
      </c>
      <c r="C24" s="363">
        <f>NC_VT!H48</f>
        <v>2706075</v>
      </c>
      <c r="D24" s="362">
        <f>NC_VT!H49</f>
        <v>295000</v>
      </c>
      <c r="E24" s="364"/>
      <c r="F24" s="364"/>
      <c r="G24" s="362">
        <f t="shared" ref="G24:G35" si="3">SUM(C24:F24)</f>
        <v>3001075</v>
      </c>
      <c r="H24" s="362">
        <f t="shared" ref="H24:H35" si="4">G24*15%</f>
        <v>450161.25</v>
      </c>
      <c r="I24" s="453">
        <v>4</v>
      </c>
      <c r="J24" s="362">
        <f>(G24+H24)*I24</f>
        <v>13804945</v>
      </c>
    </row>
    <row r="25" spans="1:13" ht="66" x14ac:dyDescent="0.25">
      <c r="A25" s="536" t="s">
        <v>226</v>
      </c>
      <c r="B25" s="528" t="s">
        <v>200</v>
      </c>
      <c r="C25" s="363">
        <f>NC_VT!H53</f>
        <v>569430</v>
      </c>
      <c r="D25" s="362">
        <f>NC_VT!H54</f>
        <v>192500</v>
      </c>
      <c r="E25" s="364"/>
      <c r="F25" s="364"/>
      <c r="G25" s="362">
        <f t="shared" si="3"/>
        <v>761930</v>
      </c>
      <c r="H25" s="362">
        <f t="shared" si="4"/>
        <v>114289.5</v>
      </c>
      <c r="I25" s="453"/>
      <c r="J25" s="362">
        <f>G25+H25</f>
        <v>876219.5</v>
      </c>
    </row>
    <row r="26" spans="1:13" ht="144.75" customHeight="1" x14ac:dyDescent="0.25">
      <c r="A26" s="536" t="s">
        <v>195</v>
      </c>
      <c r="B26" s="528" t="s">
        <v>201</v>
      </c>
      <c r="C26" s="363">
        <f>NC_VT!H57</f>
        <v>1138860</v>
      </c>
      <c r="D26" s="362">
        <f>NC_VT!H58</f>
        <v>75500</v>
      </c>
      <c r="E26" s="364"/>
      <c r="F26" s="364"/>
      <c r="G26" s="362">
        <f t="shared" si="3"/>
        <v>1214360</v>
      </c>
      <c r="H26" s="362">
        <f t="shared" si="4"/>
        <v>182154</v>
      </c>
      <c r="I26" s="453"/>
      <c r="J26" s="362">
        <f>G26+H26</f>
        <v>1396514</v>
      </c>
    </row>
    <row r="27" spans="1:13" ht="66" x14ac:dyDescent="0.25">
      <c r="A27" s="536" t="s">
        <v>196</v>
      </c>
      <c r="B27" s="537" t="s">
        <v>248</v>
      </c>
      <c r="C27" s="363">
        <f>NC_VT!H61</f>
        <v>3416580</v>
      </c>
      <c r="D27" s="362">
        <f>NC_VT!H62</f>
        <v>290000</v>
      </c>
      <c r="E27" s="364"/>
      <c r="F27" s="364"/>
      <c r="G27" s="362">
        <f t="shared" si="3"/>
        <v>3706580</v>
      </c>
      <c r="H27" s="362">
        <f t="shared" si="4"/>
        <v>555987</v>
      </c>
      <c r="I27" s="453"/>
      <c r="J27" s="362">
        <f>G27+H27</f>
        <v>4262567</v>
      </c>
    </row>
    <row r="28" spans="1:13" ht="82.5" x14ac:dyDescent="0.25">
      <c r="A28" s="536" t="s">
        <v>197</v>
      </c>
      <c r="B28" s="339" t="s">
        <v>49</v>
      </c>
      <c r="C28" s="363"/>
      <c r="D28" s="364"/>
      <c r="E28" s="364"/>
      <c r="F28" s="364"/>
      <c r="G28" s="362"/>
      <c r="H28" s="362"/>
      <c r="I28" s="453"/>
      <c r="J28" s="362"/>
    </row>
    <row r="29" spans="1:13" ht="66" x14ac:dyDescent="0.25">
      <c r="A29" s="536" t="s">
        <v>227</v>
      </c>
      <c r="B29" s="528" t="s">
        <v>50</v>
      </c>
      <c r="C29" s="363">
        <f>NC_VT!H67</f>
        <v>5124870</v>
      </c>
      <c r="D29" s="362">
        <f>NC_VT!H68</f>
        <v>502500</v>
      </c>
      <c r="E29" s="364"/>
      <c r="F29" s="364"/>
      <c r="G29" s="362">
        <f t="shared" si="3"/>
        <v>5627370</v>
      </c>
      <c r="H29" s="362">
        <f t="shared" si="4"/>
        <v>844105.5</v>
      </c>
      <c r="I29" s="453">
        <v>4</v>
      </c>
      <c r="J29" s="362">
        <f>(G29+H29)*I29</f>
        <v>25885902</v>
      </c>
    </row>
    <row r="30" spans="1:13" ht="49.5" x14ac:dyDescent="0.25">
      <c r="A30" s="536" t="s">
        <v>228</v>
      </c>
      <c r="B30" s="538" t="s">
        <v>51</v>
      </c>
      <c r="C30" s="363">
        <f>NC_VT!H72</f>
        <v>4270725</v>
      </c>
      <c r="D30" s="362">
        <f>NC_VT!H73</f>
        <v>212500</v>
      </c>
      <c r="E30" s="364"/>
      <c r="F30" s="364"/>
      <c r="G30" s="362">
        <f t="shared" si="3"/>
        <v>4483225</v>
      </c>
      <c r="H30" s="362">
        <f t="shared" si="4"/>
        <v>672483.75</v>
      </c>
      <c r="I30" s="453">
        <v>4</v>
      </c>
      <c r="J30" s="362">
        <f>(G30+H30)*I30</f>
        <v>20622835</v>
      </c>
    </row>
    <row r="31" spans="1:13" ht="33" x14ac:dyDescent="0.25">
      <c r="A31" s="536" t="s">
        <v>229</v>
      </c>
      <c r="B31" s="528" t="s">
        <v>52</v>
      </c>
      <c r="C31" s="363">
        <f>NC_VT!H77</f>
        <v>597645</v>
      </c>
      <c r="D31" s="362">
        <f>NC_VT!H78</f>
        <v>100000</v>
      </c>
      <c r="E31" s="364"/>
      <c r="F31" s="364"/>
      <c r="G31" s="362">
        <f t="shared" si="3"/>
        <v>697645</v>
      </c>
      <c r="H31" s="362">
        <f t="shared" si="4"/>
        <v>104646.75</v>
      </c>
      <c r="I31" s="453">
        <v>4</v>
      </c>
      <c r="J31" s="362">
        <f>(G31+H31)*I31</f>
        <v>3209167</v>
      </c>
    </row>
    <row r="32" spans="1:13" ht="49.5" x14ac:dyDescent="0.25">
      <c r="A32" s="536" t="s">
        <v>230</v>
      </c>
      <c r="B32" s="528" t="s">
        <v>53</v>
      </c>
      <c r="C32" s="363">
        <f>NC_VT!H81</f>
        <v>1764720</v>
      </c>
      <c r="D32" s="362">
        <f>NC_VT!H82</f>
        <v>295000</v>
      </c>
      <c r="E32" s="364"/>
      <c r="F32" s="364"/>
      <c r="G32" s="362">
        <f t="shared" si="3"/>
        <v>2059720</v>
      </c>
      <c r="H32" s="362">
        <f t="shared" si="4"/>
        <v>308958</v>
      </c>
      <c r="I32" s="453">
        <v>4</v>
      </c>
      <c r="J32" s="362">
        <f>(G32+H32)*I32</f>
        <v>9474712</v>
      </c>
    </row>
    <row r="33" spans="1:10" ht="209.25" customHeight="1" x14ac:dyDescent="0.25">
      <c r="A33" s="536" t="s">
        <v>198</v>
      </c>
      <c r="B33" s="339" t="s">
        <v>54</v>
      </c>
      <c r="C33" s="363"/>
      <c r="D33" s="364"/>
      <c r="E33" s="364"/>
      <c r="F33" s="364"/>
      <c r="G33" s="362"/>
      <c r="H33" s="362"/>
      <c r="I33" s="453"/>
      <c r="J33" s="362"/>
    </row>
    <row r="34" spans="1:10" ht="137.25" customHeight="1" x14ac:dyDescent="0.25">
      <c r="A34" s="536" t="s">
        <v>231</v>
      </c>
      <c r="B34" s="528" t="s">
        <v>202</v>
      </c>
      <c r="C34" s="363">
        <f>NC_VT!H87</f>
        <v>3416580</v>
      </c>
      <c r="D34" s="362">
        <f>NC_VT!H93</f>
        <v>202500</v>
      </c>
      <c r="E34" s="364"/>
      <c r="F34" s="364"/>
      <c r="G34" s="362">
        <f t="shared" si="3"/>
        <v>3619080</v>
      </c>
      <c r="H34" s="362">
        <f t="shared" si="4"/>
        <v>542862</v>
      </c>
      <c r="I34" s="453">
        <v>4</v>
      </c>
      <c r="J34" s="362">
        <f>(G34+H34)*I34</f>
        <v>16647768</v>
      </c>
    </row>
    <row r="35" spans="1:10" ht="33" x14ac:dyDescent="0.25">
      <c r="A35" s="539" t="s">
        <v>232</v>
      </c>
      <c r="B35" s="540" t="s">
        <v>67</v>
      </c>
      <c r="C35" s="363">
        <f>NC_VT!H92</f>
        <v>4555440</v>
      </c>
      <c r="D35" s="362">
        <f>NC_VT!H93</f>
        <v>202500</v>
      </c>
      <c r="E35" s="364"/>
      <c r="F35" s="364"/>
      <c r="G35" s="362">
        <f t="shared" si="3"/>
        <v>4757940</v>
      </c>
      <c r="H35" s="362">
        <f t="shared" si="4"/>
        <v>713691</v>
      </c>
      <c r="I35" s="453">
        <v>4</v>
      </c>
      <c r="J35" s="362">
        <f>(G35+H35)*I35</f>
        <v>21886524</v>
      </c>
    </row>
    <row r="36" spans="1:10" ht="33" x14ac:dyDescent="0.25">
      <c r="A36" s="774" t="s">
        <v>234</v>
      </c>
      <c r="B36" s="540" t="s">
        <v>133</v>
      </c>
      <c r="C36" s="451"/>
      <c r="D36" s="452"/>
      <c r="E36" s="452"/>
      <c r="F36" s="364"/>
      <c r="G36" s="365"/>
      <c r="H36" s="365"/>
      <c r="I36" s="449"/>
      <c r="J36" s="366"/>
    </row>
    <row r="37" spans="1:10" ht="18.75" x14ac:dyDescent="0.25">
      <c r="A37" s="775"/>
      <c r="B37" s="530" t="s">
        <v>154</v>
      </c>
      <c r="C37" s="363">
        <f>NC_VT!H97</f>
        <v>854145</v>
      </c>
      <c r="D37" s="364"/>
      <c r="E37" s="362">
        <f>NC_VT!H99</f>
        <v>0</v>
      </c>
      <c r="F37" s="364"/>
      <c r="G37" s="362">
        <f t="shared" ref="G37:G50" si="5">SUM(C37:F37)</f>
        <v>854145</v>
      </c>
      <c r="H37" s="362">
        <f t="shared" ref="H37:H50" si="6">G37*15%</f>
        <v>128121.75</v>
      </c>
      <c r="I37" s="453">
        <v>4</v>
      </c>
      <c r="J37" s="362">
        <f t="shared" ref="J37:J45" si="7">(G37+H37)*I37</f>
        <v>3929067</v>
      </c>
    </row>
    <row r="38" spans="1:10" ht="18.75" x14ac:dyDescent="0.25">
      <c r="A38" s="775"/>
      <c r="B38" s="530" t="s">
        <v>155</v>
      </c>
      <c r="C38" s="363">
        <f>NC_VT!H97</f>
        <v>854145</v>
      </c>
      <c r="D38" s="364"/>
      <c r="E38" s="362">
        <f>NC_VT!H100</f>
        <v>21350</v>
      </c>
      <c r="F38" s="362">
        <f>NC_VT!H110</f>
        <v>240000</v>
      </c>
      <c r="G38" s="362">
        <f t="shared" si="5"/>
        <v>1115495</v>
      </c>
      <c r="H38" s="362">
        <f t="shared" si="6"/>
        <v>167324.25</v>
      </c>
      <c r="I38" s="453">
        <v>4</v>
      </c>
      <c r="J38" s="362">
        <f t="shared" si="7"/>
        <v>5131277</v>
      </c>
    </row>
    <row r="39" spans="1:10" ht="18.75" x14ac:dyDescent="0.25">
      <c r="A39" s="775"/>
      <c r="B39" s="530" t="s">
        <v>156</v>
      </c>
      <c r="C39" s="363">
        <f>NC_VT!H97</f>
        <v>854145</v>
      </c>
      <c r="D39" s="364"/>
      <c r="E39" s="362">
        <f>NC_VT!H101</f>
        <v>29890</v>
      </c>
      <c r="F39" s="362">
        <v>80000</v>
      </c>
      <c r="G39" s="362">
        <f t="shared" si="5"/>
        <v>964035</v>
      </c>
      <c r="H39" s="362">
        <f t="shared" si="6"/>
        <v>144605.25</v>
      </c>
      <c r="I39" s="453">
        <v>4</v>
      </c>
      <c r="J39" s="362">
        <f t="shared" si="7"/>
        <v>4434561</v>
      </c>
    </row>
    <row r="40" spans="1:10" ht="18.75" x14ac:dyDescent="0.25">
      <c r="A40" s="775"/>
      <c r="B40" s="530" t="s">
        <v>157</v>
      </c>
      <c r="C40" s="363">
        <f>NC_VT!H97</f>
        <v>854145</v>
      </c>
      <c r="D40" s="364"/>
      <c r="E40" s="362">
        <f>NC_VT!H102</f>
        <v>40565</v>
      </c>
      <c r="F40" s="362">
        <v>80000</v>
      </c>
      <c r="G40" s="362">
        <f t="shared" si="5"/>
        <v>974710</v>
      </c>
      <c r="H40" s="362">
        <f t="shared" si="6"/>
        <v>146206.5</v>
      </c>
      <c r="I40" s="453">
        <v>4</v>
      </c>
      <c r="J40" s="362">
        <f t="shared" si="7"/>
        <v>4483666</v>
      </c>
    </row>
    <row r="41" spans="1:10" ht="18.75" x14ac:dyDescent="0.25">
      <c r="A41" s="775"/>
      <c r="B41" s="530" t="s">
        <v>158</v>
      </c>
      <c r="C41" s="363">
        <f>NC_VT!H97</f>
        <v>854145</v>
      </c>
      <c r="D41" s="364"/>
      <c r="E41" s="362">
        <f>NC_VT!H103</f>
        <v>42700</v>
      </c>
      <c r="F41" s="362">
        <v>80000</v>
      </c>
      <c r="G41" s="362">
        <f t="shared" si="5"/>
        <v>976845</v>
      </c>
      <c r="H41" s="362">
        <f t="shared" si="6"/>
        <v>146526.75</v>
      </c>
      <c r="I41" s="453">
        <v>4</v>
      </c>
      <c r="J41" s="362">
        <f t="shared" si="7"/>
        <v>4493487</v>
      </c>
    </row>
    <row r="42" spans="1:10" ht="18.75" x14ac:dyDescent="0.25">
      <c r="A42" s="775"/>
      <c r="B42" s="530" t="s">
        <v>164</v>
      </c>
      <c r="C42" s="363">
        <f>NC_VT!H97</f>
        <v>854145</v>
      </c>
      <c r="D42" s="364"/>
      <c r="E42" s="362">
        <f>NC_VT!H104</f>
        <v>51240</v>
      </c>
      <c r="F42" s="362">
        <v>80000</v>
      </c>
      <c r="G42" s="362">
        <f t="shared" si="5"/>
        <v>985385</v>
      </c>
      <c r="H42" s="362">
        <f t="shared" si="6"/>
        <v>147807.75</v>
      </c>
      <c r="I42" s="453">
        <v>4</v>
      </c>
      <c r="J42" s="362">
        <f t="shared" si="7"/>
        <v>4532771</v>
      </c>
    </row>
    <row r="43" spans="1:10" ht="18.75" x14ac:dyDescent="0.25">
      <c r="A43" s="775"/>
      <c r="B43" s="530" t="s">
        <v>160</v>
      </c>
      <c r="C43" s="363">
        <f>NC_VT!H97</f>
        <v>854145</v>
      </c>
      <c r="D43" s="364"/>
      <c r="E43" s="362">
        <f>NC_VT!H105</f>
        <v>64050</v>
      </c>
      <c r="F43" s="362">
        <v>100000</v>
      </c>
      <c r="G43" s="362">
        <f t="shared" si="5"/>
        <v>1018195</v>
      </c>
      <c r="H43" s="362">
        <f t="shared" si="6"/>
        <v>152729.25</v>
      </c>
      <c r="I43" s="453">
        <v>4</v>
      </c>
      <c r="J43" s="362">
        <f t="shared" si="7"/>
        <v>4683697</v>
      </c>
    </row>
    <row r="44" spans="1:10" ht="18.75" x14ac:dyDescent="0.25">
      <c r="A44" s="775"/>
      <c r="B44" s="530" t="s">
        <v>163</v>
      </c>
      <c r="C44" s="363">
        <f>NC_VT!H97</f>
        <v>854145</v>
      </c>
      <c r="D44" s="364"/>
      <c r="E44" s="362">
        <f>NC_VT!H106</f>
        <v>70455</v>
      </c>
      <c r="F44" s="362">
        <v>100000</v>
      </c>
      <c r="G44" s="362">
        <f t="shared" si="5"/>
        <v>1024600</v>
      </c>
      <c r="H44" s="362">
        <f t="shared" si="6"/>
        <v>153690</v>
      </c>
      <c r="I44" s="453">
        <v>4</v>
      </c>
      <c r="J44" s="362">
        <f t="shared" si="7"/>
        <v>4713160</v>
      </c>
    </row>
    <row r="45" spans="1:10" ht="18.75" x14ac:dyDescent="0.25">
      <c r="A45" s="775"/>
      <c r="B45" s="530" t="s">
        <v>162</v>
      </c>
      <c r="C45" s="363">
        <f>NC_VT!H97</f>
        <v>854145</v>
      </c>
      <c r="D45" s="364"/>
      <c r="E45" s="362">
        <f>NC_VT!H107</f>
        <v>83265</v>
      </c>
      <c r="F45" s="362">
        <v>100000</v>
      </c>
      <c r="G45" s="362">
        <f t="shared" si="5"/>
        <v>1037410</v>
      </c>
      <c r="H45" s="362">
        <f t="shared" si="6"/>
        <v>155611.5</v>
      </c>
      <c r="I45" s="453">
        <v>4</v>
      </c>
      <c r="J45" s="362">
        <f t="shared" si="7"/>
        <v>4772086</v>
      </c>
    </row>
    <row r="46" spans="1:10" ht="33" x14ac:dyDescent="0.25">
      <c r="A46" s="542" t="s">
        <v>235</v>
      </c>
      <c r="B46" s="339" t="s">
        <v>130</v>
      </c>
      <c r="C46" s="363">
        <f>NC_VT!H111</f>
        <v>1708290</v>
      </c>
      <c r="D46" s="362">
        <f>NC_VT!H112</f>
        <v>192500</v>
      </c>
      <c r="E46" s="364"/>
      <c r="F46" s="364"/>
      <c r="G46" s="362">
        <f t="shared" si="5"/>
        <v>1900790</v>
      </c>
      <c r="H46" s="362">
        <f t="shared" si="6"/>
        <v>285118.5</v>
      </c>
      <c r="I46" s="453"/>
      <c r="J46" s="362">
        <f>G46+H46</f>
        <v>2185908.5</v>
      </c>
    </row>
    <row r="47" spans="1:10" ht="66" x14ac:dyDescent="0.25">
      <c r="A47" s="542" t="s">
        <v>204</v>
      </c>
      <c r="B47" s="339" t="s">
        <v>73</v>
      </c>
      <c r="C47" s="363">
        <f>NC_VT!H115</f>
        <v>1708290</v>
      </c>
      <c r="D47" s="362">
        <f>NC_VT!H116</f>
        <v>200000</v>
      </c>
      <c r="E47" s="364"/>
      <c r="F47" s="364"/>
      <c r="G47" s="362">
        <f t="shared" si="5"/>
        <v>1908290</v>
      </c>
      <c r="H47" s="362">
        <f t="shared" si="6"/>
        <v>286243.5</v>
      </c>
      <c r="I47" s="453"/>
      <c r="J47" s="362">
        <f>G47+H47</f>
        <v>2194533.5</v>
      </c>
    </row>
    <row r="48" spans="1:10" ht="49.5" x14ac:dyDescent="0.25">
      <c r="A48" s="536" t="s">
        <v>205</v>
      </c>
      <c r="B48" s="528" t="s">
        <v>74</v>
      </c>
      <c r="C48" s="363">
        <f>NC_VT!H119</f>
        <v>1792935</v>
      </c>
      <c r="D48" s="362">
        <f>NC_VT!H120</f>
        <v>192500</v>
      </c>
      <c r="E48" s="364"/>
      <c r="F48" s="364"/>
      <c r="G48" s="362">
        <f t="shared" si="5"/>
        <v>1985435</v>
      </c>
      <c r="H48" s="362">
        <f t="shared" si="6"/>
        <v>297815.25</v>
      </c>
      <c r="I48" s="453"/>
      <c r="J48" s="362">
        <f>G48+H48</f>
        <v>2283250.25</v>
      </c>
    </row>
    <row r="49" spans="1:12" ht="33" x14ac:dyDescent="0.25">
      <c r="A49" s="536" t="s">
        <v>206</v>
      </c>
      <c r="B49" s="528" t="s">
        <v>55</v>
      </c>
      <c r="C49" s="363">
        <f>NC_VT!H123</f>
        <v>882360</v>
      </c>
      <c r="D49" s="362">
        <f>NC_VT!H124</f>
        <v>83000</v>
      </c>
      <c r="E49" s="364"/>
      <c r="F49" s="364"/>
      <c r="G49" s="362">
        <f t="shared" si="5"/>
        <v>965360</v>
      </c>
      <c r="H49" s="362">
        <f t="shared" si="6"/>
        <v>144804</v>
      </c>
      <c r="I49" s="453"/>
      <c r="J49" s="362">
        <f>G49+H49</f>
        <v>1110164</v>
      </c>
    </row>
    <row r="50" spans="1:12" ht="49.5" x14ac:dyDescent="0.25">
      <c r="A50" s="536" t="s">
        <v>207</v>
      </c>
      <c r="B50" s="339" t="s">
        <v>75</v>
      </c>
      <c r="C50" s="363">
        <f>NC_VT!H127</f>
        <v>284715</v>
      </c>
      <c r="D50" s="364"/>
      <c r="E50" s="364"/>
      <c r="F50" s="364"/>
      <c r="G50" s="362">
        <f t="shared" si="5"/>
        <v>284715</v>
      </c>
      <c r="H50" s="362">
        <f t="shared" si="6"/>
        <v>42707.25</v>
      </c>
      <c r="I50" s="453"/>
      <c r="J50" s="362">
        <f>G50+H50</f>
        <v>327422.25</v>
      </c>
      <c r="K50" s="724" t="s">
        <v>258</v>
      </c>
      <c r="L50" s="725"/>
    </row>
    <row r="51" spans="1:12" ht="33" x14ac:dyDescent="0.25">
      <c r="A51" s="565" t="s">
        <v>262</v>
      </c>
      <c r="B51" s="448" t="str">
        <f>NC_VT!B128</f>
        <v>Giao đất trên thực địa cho người trúng đấu giá</v>
      </c>
      <c r="C51" s="567"/>
      <c r="D51" s="567"/>
      <c r="E51" s="567"/>
      <c r="F51" s="549"/>
      <c r="G51" s="549"/>
      <c r="H51" s="549"/>
      <c r="I51" s="362"/>
      <c r="J51" s="362"/>
      <c r="K51" s="545"/>
      <c r="L51" s="556"/>
    </row>
    <row r="52" spans="1:12" ht="18.75" x14ac:dyDescent="0.25">
      <c r="A52" s="565"/>
      <c r="B52" s="568" t="s">
        <v>154</v>
      </c>
      <c r="C52" s="566">
        <f>NC_VT!H128</f>
        <v>597645</v>
      </c>
      <c r="D52" s="549">
        <f>NC_VT!H130</f>
        <v>0</v>
      </c>
      <c r="E52" s="567"/>
      <c r="F52" s="549"/>
      <c r="G52" s="362">
        <f t="shared" ref="G52:G60" si="8">SUM(C52:F52)</f>
        <v>597645</v>
      </c>
      <c r="H52" s="362">
        <f t="shared" ref="H52:H60" si="9">G52*15%</f>
        <v>89646.75</v>
      </c>
      <c r="I52" s="362"/>
      <c r="J52" s="362">
        <f t="shared" ref="J52:J60" si="10">G52+H52</f>
        <v>687291.75</v>
      </c>
      <c r="K52" s="545"/>
      <c r="L52" s="556"/>
    </row>
    <row r="53" spans="1:12" ht="18.75" x14ac:dyDescent="0.25">
      <c r="A53" s="565"/>
      <c r="B53" s="568" t="s">
        <v>155</v>
      </c>
      <c r="C53" s="566">
        <f>NC_VT!H128</f>
        <v>597645</v>
      </c>
      <c r="D53" s="549">
        <f>NC_VT!H131</f>
        <v>21350</v>
      </c>
      <c r="E53" s="549">
        <f>NC_VT!H141</f>
        <v>160000</v>
      </c>
      <c r="F53" s="549"/>
      <c r="G53" s="362">
        <f t="shared" si="8"/>
        <v>778995</v>
      </c>
      <c r="H53" s="362">
        <f t="shared" si="9"/>
        <v>116849.25</v>
      </c>
      <c r="I53" s="362"/>
      <c r="J53" s="362">
        <f t="shared" si="10"/>
        <v>895844.25</v>
      </c>
      <c r="K53" s="545"/>
      <c r="L53" s="556"/>
    </row>
    <row r="54" spans="1:12" ht="18.75" x14ac:dyDescent="0.25">
      <c r="A54" s="565"/>
      <c r="B54" s="568" t="s">
        <v>156</v>
      </c>
      <c r="C54" s="566">
        <f>NC_VT!H128</f>
        <v>597645</v>
      </c>
      <c r="D54" s="549">
        <f>NC_VT!H132</f>
        <v>29890</v>
      </c>
      <c r="E54" s="549">
        <f>NC_VT!H141</f>
        <v>160000</v>
      </c>
      <c r="F54" s="549"/>
      <c r="G54" s="362">
        <f t="shared" si="8"/>
        <v>787535</v>
      </c>
      <c r="H54" s="362">
        <f t="shared" si="9"/>
        <v>118130.25</v>
      </c>
      <c r="I54" s="362"/>
      <c r="J54" s="362">
        <f t="shared" si="10"/>
        <v>905665.25</v>
      </c>
      <c r="K54" s="545"/>
      <c r="L54" s="556"/>
    </row>
    <row r="55" spans="1:12" ht="18.75" x14ac:dyDescent="0.25">
      <c r="A55" s="565"/>
      <c r="B55" s="568" t="s">
        <v>157</v>
      </c>
      <c r="C55" s="566">
        <f>NC_VT!H128</f>
        <v>597645</v>
      </c>
      <c r="D55" s="549">
        <f>NC_VT!H133</f>
        <v>40565</v>
      </c>
      <c r="E55" s="549">
        <f>NC_VT!H141</f>
        <v>160000</v>
      </c>
      <c r="F55" s="549"/>
      <c r="G55" s="362">
        <f t="shared" si="8"/>
        <v>798210</v>
      </c>
      <c r="H55" s="362">
        <f t="shared" si="9"/>
        <v>119731.5</v>
      </c>
      <c r="I55" s="362"/>
      <c r="J55" s="362">
        <f t="shared" si="10"/>
        <v>917941.5</v>
      </c>
      <c r="K55" s="545"/>
      <c r="L55" s="556"/>
    </row>
    <row r="56" spans="1:12" ht="18.75" x14ac:dyDescent="0.25">
      <c r="A56" s="565"/>
      <c r="B56" s="568" t="s">
        <v>158</v>
      </c>
      <c r="C56" s="566">
        <f>NC_VT!H128</f>
        <v>597645</v>
      </c>
      <c r="D56" s="549">
        <f>NC_VT!H134</f>
        <v>42700</v>
      </c>
      <c r="E56" s="549">
        <f>NC_VT!H141</f>
        <v>160000</v>
      </c>
      <c r="F56" s="549"/>
      <c r="G56" s="362">
        <f t="shared" si="8"/>
        <v>800345</v>
      </c>
      <c r="H56" s="362">
        <f t="shared" si="9"/>
        <v>120051.75</v>
      </c>
      <c r="I56" s="362"/>
      <c r="J56" s="362">
        <f t="shared" si="10"/>
        <v>920396.75</v>
      </c>
      <c r="K56" s="545"/>
      <c r="L56" s="556"/>
    </row>
    <row r="57" spans="1:12" ht="18.75" x14ac:dyDescent="0.25">
      <c r="A57" s="565"/>
      <c r="B57" s="568" t="s">
        <v>164</v>
      </c>
      <c r="C57" s="566">
        <f>NC_VT!H128</f>
        <v>597645</v>
      </c>
      <c r="D57" s="549">
        <f>NC_VT!H135</f>
        <v>51240</v>
      </c>
      <c r="E57" s="549">
        <f>NC_VT!H141</f>
        <v>160000</v>
      </c>
      <c r="F57" s="549"/>
      <c r="G57" s="362">
        <f t="shared" si="8"/>
        <v>808885</v>
      </c>
      <c r="H57" s="362">
        <f t="shared" si="9"/>
        <v>121332.75</v>
      </c>
      <c r="I57" s="362"/>
      <c r="J57" s="362">
        <f t="shared" si="10"/>
        <v>930217.75</v>
      </c>
      <c r="K57" s="545"/>
      <c r="L57" s="556"/>
    </row>
    <row r="58" spans="1:12" ht="18.75" x14ac:dyDescent="0.25">
      <c r="A58" s="565"/>
      <c r="B58" s="568" t="s">
        <v>160</v>
      </c>
      <c r="C58" s="566">
        <f>NC_VT!H128</f>
        <v>597645</v>
      </c>
      <c r="D58" s="549">
        <f>NC_VT!H136</f>
        <v>64050</v>
      </c>
      <c r="E58" s="549">
        <f>NC_VT!H140</f>
        <v>200000</v>
      </c>
      <c r="F58" s="549"/>
      <c r="G58" s="362">
        <f t="shared" si="8"/>
        <v>861695</v>
      </c>
      <c r="H58" s="362">
        <f t="shared" si="9"/>
        <v>129254.25</v>
      </c>
      <c r="I58" s="362"/>
      <c r="J58" s="362">
        <f t="shared" si="10"/>
        <v>990949.25</v>
      </c>
      <c r="K58" s="545"/>
      <c r="L58" s="556"/>
    </row>
    <row r="59" spans="1:12" ht="18.75" x14ac:dyDescent="0.25">
      <c r="A59" s="565"/>
      <c r="B59" s="568" t="s">
        <v>163</v>
      </c>
      <c r="C59" s="566">
        <f>NC_VT!H128</f>
        <v>597645</v>
      </c>
      <c r="D59" s="549">
        <f>NC_VT!H137</f>
        <v>70455</v>
      </c>
      <c r="E59" s="549">
        <f>NC_VT!H140</f>
        <v>200000</v>
      </c>
      <c r="F59" s="549"/>
      <c r="G59" s="362">
        <f t="shared" si="8"/>
        <v>868100</v>
      </c>
      <c r="H59" s="362">
        <f t="shared" si="9"/>
        <v>130215</v>
      </c>
      <c r="I59" s="362"/>
      <c r="J59" s="362">
        <f t="shared" si="10"/>
        <v>998315</v>
      </c>
      <c r="K59" s="545"/>
      <c r="L59" s="556"/>
    </row>
    <row r="60" spans="1:12" ht="18.75" x14ac:dyDescent="0.25">
      <c r="A60" s="565"/>
      <c r="B60" s="568" t="s">
        <v>162</v>
      </c>
      <c r="C60" s="566">
        <f>NC_VT!H128</f>
        <v>597645</v>
      </c>
      <c r="D60" s="549">
        <f>NC_VT!H138</f>
        <v>83265</v>
      </c>
      <c r="E60" s="549">
        <f>NC_VT!H140</f>
        <v>200000</v>
      </c>
      <c r="F60" s="549"/>
      <c r="G60" s="362">
        <f t="shared" si="8"/>
        <v>880910</v>
      </c>
      <c r="H60" s="362">
        <f t="shared" si="9"/>
        <v>132136.5</v>
      </c>
      <c r="I60" s="362"/>
      <c r="J60" s="362">
        <f t="shared" si="10"/>
        <v>1013046.5</v>
      </c>
      <c r="K60" s="545"/>
      <c r="L60" s="556"/>
    </row>
    <row r="61" spans="1:12" ht="33" x14ac:dyDescent="0.25">
      <c r="A61" s="533">
        <v>2</v>
      </c>
      <c r="B61" s="535" t="s">
        <v>203</v>
      </c>
      <c r="C61" s="367"/>
      <c r="D61" s="365"/>
      <c r="E61" s="365"/>
      <c r="F61" s="365"/>
      <c r="G61" s="365"/>
      <c r="H61" s="365"/>
      <c r="I61" s="449"/>
      <c r="J61" s="544"/>
      <c r="K61" s="545" t="s">
        <v>181</v>
      </c>
      <c r="L61" s="546" t="s">
        <v>238</v>
      </c>
    </row>
    <row r="62" spans="1:12" ht="33" x14ac:dyDescent="0.25">
      <c r="A62" s="536" t="s">
        <v>208</v>
      </c>
      <c r="B62" s="528" t="s">
        <v>72</v>
      </c>
      <c r="C62" s="363"/>
      <c r="D62" s="363"/>
      <c r="E62" s="362"/>
      <c r="F62" s="362"/>
      <c r="G62" s="362"/>
      <c r="H62" s="362"/>
      <c r="I62" s="453"/>
      <c r="J62" s="362"/>
      <c r="K62" s="391">
        <f>J8+J17+J18+J19+J20+J63+J64+J65+J66+J68+J69+J70+J71+J73+J74+J76+J85</f>
        <v>162962706.15000001</v>
      </c>
      <c r="L62" s="391">
        <f>J16+J17+J18+J19+J20+J63+J64+J65+J66+J68+J69+J70+J71+J73+J74+J84+J85</f>
        <v>166028744.15000001</v>
      </c>
    </row>
    <row r="63" spans="1:12" ht="66" x14ac:dyDescent="0.25">
      <c r="A63" s="536" t="s">
        <v>215</v>
      </c>
      <c r="B63" s="528" t="s">
        <v>214</v>
      </c>
      <c r="C63" s="363">
        <v>1792024</v>
      </c>
      <c r="D63" s="362">
        <v>295000</v>
      </c>
      <c r="E63" s="364"/>
      <c r="F63" s="364"/>
      <c r="G63" s="362">
        <f>SUM(C63:F63)</f>
        <v>2087024</v>
      </c>
      <c r="H63" s="362">
        <f>G63*15%</f>
        <v>313053.59999999998</v>
      </c>
      <c r="I63" s="453">
        <v>4</v>
      </c>
      <c r="J63" s="362">
        <f>(G63+H63)*I63</f>
        <v>9600310.4000000004</v>
      </c>
    </row>
    <row r="64" spans="1:12" ht="66" x14ac:dyDescent="0.25">
      <c r="A64" s="536" t="s">
        <v>216</v>
      </c>
      <c r="B64" s="528" t="s">
        <v>200</v>
      </c>
      <c r="C64" s="363">
        <v>471362</v>
      </c>
      <c r="D64" s="362">
        <v>192500</v>
      </c>
      <c r="E64" s="364"/>
      <c r="F64" s="364"/>
      <c r="G64" s="362">
        <f>SUM(C64:F64)</f>
        <v>663862</v>
      </c>
      <c r="H64" s="362">
        <f>G64*15%</f>
        <v>99579.3</v>
      </c>
      <c r="I64" s="453"/>
      <c r="J64" s="362">
        <f>G64+H64</f>
        <v>763441.3</v>
      </c>
    </row>
    <row r="65" spans="1:10" ht="66" x14ac:dyDescent="0.25">
      <c r="A65" s="536" t="s">
        <v>209</v>
      </c>
      <c r="B65" s="528" t="s">
        <v>165</v>
      </c>
      <c r="C65" s="363">
        <v>942724</v>
      </c>
      <c r="D65" s="362">
        <v>75500</v>
      </c>
      <c r="E65" s="364"/>
      <c r="F65" s="364"/>
      <c r="G65" s="362">
        <f>SUM(C65:F65)</f>
        <v>1018224</v>
      </c>
      <c r="H65" s="362">
        <f>G65*15%</f>
        <v>152733.6</v>
      </c>
      <c r="I65" s="453"/>
      <c r="J65" s="362">
        <f>G65+H65</f>
        <v>1170957.6000000001</v>
      </c>
    </row>
    <row r="66" spans="1:10" ht="66" x14ac:dyDescent="0.25">
      <c r="A66" s="536" t="s">
        <v>210</v>
      </c>
      <c r="B66" s="528" t="s">
        <v>248</v>
      </c>
      <c r="C66" s="363">
        <v>2828172</v>
      </c>
      <c r="D66" s="362">
        <v>290000</v>
      </c>
      <c r="E66" s="364"/>
      <c r="F66" s="364"/>
      <c r="G66" s="362">
        <f>SUM(C66:F66)</f>
        <v>3118172</v>
      </c>
      <c r="H66" s="362">
        <f>G66*15%</f>
        <v>467725.8</v>
      </c>
      <c r="I66" s="453"/>
      <c r="J66" s="362">
        <f>G66+H66</f>
        <v>3585897.8</v>
      </c>
    </row>
    <row r="67" spans="1:10" ht="82.5" x14ac:dyDescent="0.25">
      <c r="A67" s="536" t="s">
        <v>211</v>
      </c>
      <c r="B67" s="339" t="s">
        <v>213</v>
      </c>
      <c r="C67" s="363"/>
      <c r="D67" s="364"/>
      <c r="E67" s="364"/>
      <c r="F67" s="364"/>
      <c r="G67" s="362"/>
      <c r="H67" s="362"/>
      <c r="I67" s="453"/>
      <c r="J67" s="362"/>
    </row>
    <row r="68" spans="1:10" ht="66" x14ac:dyDescent="0.25">
      <c r="A68" s="536" t="s">
        <v>217</v>
      </c>
      <c r="B68" s="528" t="s">
        <v>50</v>
      </c>
      <c r="C68" s="363">
        <v>2828172</v>
      </c>
      <c r="D68" s="362">
        <v>502500</v>
      </c>
      <c r="E68" s="364"/>
      <c r="F68" s="364"/>
      <c r="G68" s="362">
        <f>SUM(C68:F68)</f>
        <v>3330672</v>
      </c>
      <c r="H68" s="362">
        <f>G68*15%</f>
        <v>499600.8</v>
      </c>
      <c r="I68" s="453">
        <v>4</v>
      </c>
      <c r="J68" s="362">
        <f>(G68+H68)*I68</f>
        <v>15321091.199999999</v>
      </c>
    </row>
    <row r="69" spans="1:10" ht="49.5" x14ac:dyDescent="0.25">
      <c r="A69" s="536" t="s">
        <v>218</v>
      </c>
      <c r="B69" s="538" t="s">
        <v>51</v>
      </c>
      <c r="C69" s="363">
        <v>3535215</v>
      </c>
      <c r="D69" s="362">
        <v>212500</v>
      </c>
      <c r="E69" s="364"/>
      <c r="F69" s="364"/>
      <c r="G69" s="362">
        <f>SUM(C69:F69)</f>
        <v>3747715</v>
      </c>
      <c r="H69" s="362">
        <f>G69*15%</f>
        <v>562157.25</v>
      </c>
      <c r="I69" s="453">
        <v>4</v>
      </c>
      <c r="J69" s="362">
        <f>(G69+H69)*I69</f>
        <v>17239489</v>
      </c>
    </row>
    <row r="70" spans="1:10" ht="33" x14ac:dyDescent="0.25">
      <c r="A70" s="536" t="s">
        <v>219</v>
      </c>
      <c r="B70" s="528" t="s">
        <v>52</v>
      </c>
      <c r="C70" s="363">
        <v>494718</v>
      </c>
      <c r="D70" s="362">
        <v>100000</v>
      </c>
      <c r="E70" s="364"/>
      <c r="F70" s="364"/>
      <c r="G70" s="362">
        <f>SUM(C70:F70)</f>
        <v>594718</v>
      </c>
      <c r="H70" s="362">
        <f>G70*15%</f>
        <v>89207.7</v>
      </c>
      <c r="I70" s="453">
        <v>4</v>
      </c>
      <c r="J70" s="362">
        <f>(G70+H70)*I70</f>
        <v>2735702.8</v>
      </c>
    </row>
    <row r="71" spans="1:10" ht="52.5" customHeight="1" x14ac:dyDescent="0.25">
      <c r="A71" s="536" t="s">
        <v>220</v>
      </c>
      <c r="B71" s="528" t="s">
        <v>53</v>
      </c>
      <c r="C71" s="363">
        <v>1460798</v>
      </c>
      <c r="D71" s="362">
        <v>295000</v>
      </c>
      <c r="E71" s="364"/>
      <c r="F71" s="364"/>
      <c r="G71" s="362">
        <f>SUM(C71:F71)</f>
        <v>1755798</v>
      </c>
      <c r="H71" s="362">
        <f>G71*15%</f>
        <v>263369.7</v>
      </c>
      <c r="I71" s="453">
        <v>4</v>
      </c>
      <c r="J71" s="362">
        <f>(G71+H71)*I71</f>
        <v>8076670.7999999998</v>
      </c>
    </row>
    <row r="72" spans="1:10" ht="205.5" customHeight="1" x14ac:dyDescent="0.25">
      <c r="A72" s="536" t="s">
        <v>212</v>
      </c>
      <c r="B72" s="339" t="s">
        <v>54</v>
      </c>
      <c r="C72" s="363"/>
      <c r="D72" s="364"/>
      <c r="E72" s="364"/>
      <c r="F72" s="364"/>
      <c r="G72" s="362"/>
      <c r="H72" s="362"/>
      <c r="I72" s="453"/>
      <c r="J72" s="362"/>
    </row>
    <row r="73" spans="1:10" ht="138.75" customHeight="1" x14ac:dyDescent="0.25">
      <c r="A73" s="536" t="s">
        <v>221</v>
      </c>
      <c r="B73" s="528" t="s">
        <v>202</v>
      </c>
      <c r="C73" s="363">
        <v>2828172</v>
      </c>
      <c r="D73" s="362">
        <v>202500</v>
      </c>
      <c r="E73" s="364"/>
      <c r="F73" s="364"/>
      <c r="G73" s="362">
        <f>SUM(C73:F73)</f>
        <v>3030672</v>
      </c>
      <c r="H73" s="362">
        <f>G73*15%</f>
        <v>454600.8</v>
      </c>
      <c r="I73" s="453">
        <v>4</v>
      </c>
      <c r="J73" s="362">
        <f t="shared" ref="J73:J84" si="11">(G73+H73)*I73</f>
        <v>13941091.199999999</v>
      </c>
    </row>
    <row r="74" spans="1:10" ht="33" x14ac:dyDescent="0.25">
      <c r="A74" s="536" t="s">
        <v>222</v>
      </c>
      <c r="B74" s="528" t="s">
        <v>67</v>
      </c>
      <c r="C74" s="363">
        <v>3770896</v>
      </c>
      <c r="D74" s="362">
        <v>202500</v>
      </c>
      <c r="E74" s="364"/>
      <c r="F74" s="364"/>
      <c r="G74" s="362">
        <f>SUM(C74:F74)</f>
        <v>3973396</v>
      </c>
      <c r="H74" s="362">
        <f>G74*15%</f>
        <v>596009.4</v>
      </c>
      <c r="I74" s="453">
        <v>4</v>
      </c>
      <c r="J74" s="362">
        <f t="shared" si="11"/>
        <v>18277621.600000001</v>
      </c>
    </row>
    <row r="75" spans="1:10" ht="33" x14ac:dyDescent="0.25">
      <c r="A75" s="536" t="s">
        <v>223</v>
      </c>
      <c r="B75" s="529" t="s">
        <v>133</v>
      </c>
      <c r="C75" s="451"/>
      <c r="D75" s="452"/>
      <c r="E75" s="452"/>
      <c r="F75" s="364"/>
      <c r="G75" s="365"/>
      <c r="H75" s="365"/>
      <c r="I75" s="449"/>
      <c r="J75" s="362"/>
    </row>
    <row r="76" spans="1:10" ht="18.75" x14ac:dyDescent="0.25">
      <c r="A76" s="536"/>
      <c r="B76" s="530" t="s">
        <v>154</v>
      </c>
      <c r="C76" s="363">
        <v>707043</v>
      </c>
      <c r="D76" s="364"/>
      <c r="E76" s="362">
        <v>0</v>
      </c>
      <c r="F76" s="364"/>
      <c r="G76" s="362">
        <f t="shared" ref="G76:G85" si="12">SUM(C76:F76)</f>
        <v>707043</v>
      </c>
      <c r="H76" s="362">
        <f t="shared" ref="H76:H85" si="13">G76*15%</f>
        <v>106056.45</v>
      </c>
      <c r="I76" s="453">
        <v>4</v>
      </c>
      <c r="J76" s="362">
        <f t="shared" si="11"/>
        <v>3252397.8</v>
      </c>
    </row>
    <row r="77" spans="1:10" ht="18.75" x14ac:dyDescent="0.25">
      <c r="A77" s="536"/>
      <c r="B77" s="530" t="s">
        <v>155</v>
      </c>
      <c r="C77" s="363">
        <v>707043</v>
      </c>
      <c r="D77" s="364"/>
      <c r="E77" s="362">
        <v>21350</v>
      </c>
      <c r="F77" s="362">
        <v>80000</v>
      </c>
      <c r="G77" s="362">
        <f t="shared" si="12"/>
        <v>808393</v>
      </c>
      <c r="H77" s="362">
        <f t="shared" si="13"/>
        <v>121258.95</v>
      </c>
      <c r="I77" s="453">
        <v>4</v>
      </c>
      <c r="J77" s="362">
        <f t="shared" si="11"/>
        <v>3718607.8</v>
      </c>
    </row>
    <row r="78" spans="1:10" ht="18.75" x14ac:dyDescent="0.25">
      <c r="A78" s="536"/>
      <c r="B78" s="530" t="s">
        <v>156</v>
      </c>
      <c r="C78" s="363">
        <v>707043</v>
      </c>
      <c r="D78" s="364"/>
      <c r="E78" s="362">
        <v>29890</v>
      </c>
      <c r="F78" s="362">
        <v>80000</v>
      </c>
      <c r="G78" s="362">
        <f t="shared" si="12"/>
        <v>816933</v>
      </c>
      <c r="H78" s="362">
        <f t="shared" si="13"/>
        <v>122539.95</v>
      </c>
      <c r="I78" s="453">
        <v>4</v>
      </c>
      <c r="J78" s="362">
        <f t="shared" si="11"/>
        <v>3757891.8</v>
      </c>
    </row>
    <row r="79" spans="1:10" ht="18.75" x14ac:dyDescent="0.25">
      <c r="A79" s="536"/>
      <c r="B79" s="530" t="s">
        <v>157</v>
      </c>
      <c r="C79" s="363">
        <v>707043</v>
      </c>
      <c r="D79" s="364"/>
      <c r="E79" s="362">
        <v>40565</v>
      </c>
      <c r="F79" s="362">
        <v>80000</v>
      </c>
      <c r="G79" s="362">
        <f t="shared" si="12"/>
        <v>827608</v>
      </c>
      <c r="H79" s="362">
        <f t="shared" si="13"/>
        <v>124141.2</v>
      </c>
      <c r="I79" s="453">
        <v>4</v>
      </c>
      <c r="J79" s="362">
        <f t="shared" si="11"/>
        <v>3806996.8</v>
      </c>
    </row>
    <row r="80" spans="1:10" ht="18.75" x14ac:dyDescent="0.25">
      <c r="A80" s="536"/>
      <c r="B80" s="530" t="s">
        <v>158</v>
      </c>
      <c r="C80" s="363">
        <v>707043</v>
      </c>
      <c r="D80" s="364"/>
      <c r="E80" s="362">
        <v>42700</v>
      </c>
      <c r="F80" s="362">
        <v>80000</v>
      </c>
      <c r="G80" s="362">
        <f t="shared" si="12"/>
        <v>829743</v>
      </c>
      <c r="H80" s="362">
        <f t="shared" si="13"/>
        <v>124461.45</v>
      </c>
      <c r="I80" s="453">
        <v>4</v>
      </c>
      <c r="J80" s="362">
        <f t="shared" si="11"/>
        <v>3816817.8</v>
      </c>
    </row>
    <row r="81" spans="1:10" ht="18.75" x14ac:dyDescent="0.25">
      <c r="A81" s="536"/>
      <c r="B81" s="530" t="s">
        <v>164</v>
      </c>
      <c r="C81" s="363">
        <v>707043</v>
      </c>
      <c r="D81" s="364"/>
      <c r="E81" s="362">
        <v>51240</v>
      </c>
      <c r="F81" s="362">
        <v>80000</v>
      </c>
      <c r="G81" s="362">
        <f t="shared" si="12"/>
        <v>838283</v>
      </c>
      <c r="H81" s="362">
        <f t="shared" si="13"/>
        <v>125742.45</v>
      </c>
      <c r="I81" s="453">
        <v>4</v>
      </c>
      <c r="J81" s="362">
        <f t="shared" si="11"/>
        <v>3856101.8</v>
      </c>
    </row>
    <row r="82" spans="1:10" ht="18.75" x14ac:dyDescent="0.25">
      <c r="A82" s="536"/>
      <c r="B82" s="530" t="s">
        <v>160</v>
      </c>
      <c r="C82" s="363">
        <v>707043</v>
      </c>
      <c r="D82" s="364"/>
      <c r="E82" s="362">
        <v>64050</v>
      </c>
      <c r="F82" s="362">
        <v>100000</v>
      </c>
      <c r="G82" s="362">
        <f t="shared" si="12"/>
        <v>871093</v>
      </c>
      <c r="H82" s="362">
        <f t="shared" si="13"/>
        <v>130663.95</v>
      </c>
      <c r="I82" s="453">
        <v>4</v>
      </c>
      <c r="J82" s="362">
        <f t="shared" si="11"/>
        <v>4007027.8</v>
      </c>
    </row>
    <row r="83" spans="1:10" ht="18.75" x14ac:dyDescent="0.25">
      <c r="A83" s="536"/>
      <c r="B83" s="530" t="s">
        <v>163</v>
      </c>
      <c r="C83" s="363">
        <v>707043</v>
      </c>
      <c r="D83" s="364"/>
      <c r="E83" s="362">
        <v>70455</v>
      </c>
      <c r="F83" s="362">
        <v>100000</v>
      </c>
      <c r="G83" s="362">
        <f t="shared" si="12"/>
        <v>877498</v>
      </c>
      <c r="H83" s="362">
        <f t="shared" si="13"/>
        <v>131624.69999999998</v>
      </c>
      <c r="I83" s="453">
        <v>4</v>
      </c>
      <c r="J83" s="362">
        <f t="shared" si="11"/>
        <v>4036490.8</v>
      </c>
    </row>
    <row r="84" spans="1:10" ht="18.75" x14ac:dyDescent="0.25">
      <c r="A84" s="536"/>
      <c r="B84" s="530" t="s">
        <v>162</v>
      </c>
      <c r="C84" s="363">
        <v>707043</v>
      </c>
      <c r="D84" s="364"/>
      <c r="E84" s="362">
        <v>83265</v>
      </c>
      <c r="F84" s="362">
        <v>100000</v>
      </c>
      <c r="G84" s="362">
        <f t="shared" si="12"/>
        <v>890308</v>
      </c>
      <c r="H84" s="362">
        <f t="shared" si="13"/>
        <v>133546.19999999998</v>
      </c>
      <c r="I84" s="453">
        <v>4</v>
      </c>
      <c r="J84" s="362">
        <f t="shared" si="11"/>
        <v>4095416.8</v>
      </c>
    </row>
    <row r="85" spans="1:10" ht="33" x14ac:dyDescent="0.25">
      <c r="A85" s="536" t="s">
        <v>224</v>
      </c>
      <c r="B85" s="528" t="s">
        <v>130</v>
      </c>
      <c r="C85" s="363">
        <v>1414086</v>
      </c>
      <c r="D85" s="362">
        <v>192500</v>
      </c>
      <c r="E85" s="364"/>
      <c r="F85" s="364"/>
      <c r="G85" s="362">
        <f t="shared" si="12"/>
        <v>1606586</v>
      </c>
      <c r="H85" s="362">
        <f t="shared" si="13"/>
        <v>240987.9</v>
      </c>
      <c r="I85" s="453"/>
      <c r="J85" s="362">
        <f>G85+H85</f>
        <v>1847573.9</v>
      </c>
    </row>
  </sheetData>
  <mergeCells count="6">
    <mergeCell ref="A1:J1"/>
    <mergeCell ref="A2:J2"/>
    <mergeCell ref="A7:A16"/>
    <mergeCell ref="A36:A45"/>
    <mergeCell ref="K50:L50"/>
    <mergeCell ref="K5:L5"/>
  </mergeCells>
  <pageMargins left="0.24" right="0.16" top="0.36" bottom="0.41" header="0.28000000000000003" footer="0.2"/>
  <pageSetup paperSize="9" scale="95" orientation="landscape"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topLeftCell="A73" workbookViewId="0">
      <selection activeCell="I88" sqref="I88"/>
    </sheetView>
  </sheetViews>
  <sheetFormatPr defaultColWidth="9" defaultRowHeight="16.5" x14ac:dyDescent="0.25"/>
  <cols>
    <col min="1" max="1" width="5.875" style="340" bestFit="1" customWidth="1"/>
    <col min="2" max="2" width="24.75" style="340" customWidth="1"/>
    <col min="3" max="3" width="10" style="388" bestFit="1" customWidth="1"/>
    <col min="4" max="4" width="8.375" style="340" bestFit="1" customWidth="1"/>
    <col min="5" max="5" width="10.125" style="340" customWidth="1"/>
    <col min="6" max="6" width="9.875" style="340" customWidth="1"/>
    <col min="7" max="7" width="11.25" style="340" bestFit="1" customWidth="1"/>
    <col min="8" max="8" width="12.5" style="340" customWidth="1"/>
    <col min="9" max="9" width="7.5" style="522" customWidth="1"/>
    <col min="10" max="10" width="11.5" style="386" customWidth="1"/>
    <col min="11" max="11" width="12.5" style="340" customWidth="1"/>
    <col min="12" max="12" width="12" style="340" customWidth="1"/>
    <col min="13" max="13" width="10" style="340" bestFit="1" customWidth="1"/>
    <col min="14" max="16384" width="9" style="340"/>
  </cols>
  <sheetData>
    <row r="1" spans="1:12" x14ac:dyDescent="0.25">
      <c r="A1" s="739" t="s">
        <v>237</v>
      </c>
      <c r="B1" s="739"/>
      <c r="C1" s="739"/>
      <c r="D1" s="739"/>
      <c r="E1" s="739"/>
      <c r="F1" s="739"/>
      <c r="G1" s="739"/>
      <c r="H1" s="739"/>
      <c r="I1" s="739"/>
      <c r="J1" s="739"/>
    </row>
    <row r="2" spans="1:12" ht="48.75" customHeight="1" x14ac:dyDescent="0.25">
      <c r="A2" s="740" t="s">
        <v>186</v>
      </c>
      <c r="B2" s="740"/>
      <c r="C2" s="740"/>
      <c r="D2" s="740"/>
      <c r="E2" s="740"/>
      <c r="F2" s="740"/>
      <c r="G2" s="740"/>
      <c r="H2" s="740"/>
      <c r="I2" s="740"/>
      <c r="J2" s="740"/>
    </row>
    <row r="3" spans="1:12" x14ac:dyDescent="0.25">
      <c r="A3" s="341"/>
      <c r="B3" s="341"/>
      <c r="C3" s="342"/>
      <c r="D3" s="341"/>
      <c r="E3" s="341"/>
      <c r="F3" s="341"/>
      <c r="G3" s="341"/>
      <c r="H3" s="341"/>
      <c r="I3" s="341"/>
      <c r="J3" s="450" t="s">
        <v>118</v>
      </c>
    </row>
    <row r="4" spans="1:12" ht="48" customHeight="1" x14ac:dyDescent="0.25">
      <c r="A4" s="344" t="s">
        <v>0</v>
      </c>
      <c r="B4" s="344" t="s">
        <v>1</v>
      </c>
      <c r="C4" s="389" t="s">
        <v>119</v>
      </c>
      <c r="D4" s="136" t="s">
        <v>120</v>
      </c>
      <c r="E4" s="136" t="s">
        <v>121</v>
      </c>
      <c r="F4" s="137" t="s">
        <v>122</v>
      </c>
      <c r="G4" s="136" t="s">
        <v>123</v>
      </c>
      <c r="H4" s="136" t="s">
        <v>124</v>
      </c>
      <c r="I4" s="395" t="s">
        <v>86</v>
      </c>
      <c r="J4" s="136" t="s">
        <v>78</v>
      </c>
    </row>
    <row r="5" spans="1:12" x14ac:dyDescent="0.25">
      <c r="A5" s="526" t="s">
        <v>142</v>
      </c>
      <c r="B5" s="527" t="s">
        <v>192</v>
      </c>
      <c r="C5" s="389"/>
      <c r="D5" s="136"/>
      <c r="E5" s="136"/>
      <c r="F5" s="136"/>
      <c r="G5" s="136"/>
      <c r="H5" s="136"/>
      <c r="I5" s="136"/>
      <c r="J5" s="136"/>
      <c r="K5" s="724" t="s">
        <v>257</v>
      </c>
      <c r="L5" s="725"/>
    </row>
    <row r="6" spans="1:12" ht="66" x14ac:dyDescent="0.25">
      <c r="A6" s="420">
        <v>1</v>
      </c>
      <c r="B6" s="528" t="s">
        <v>193</v>
      </c>
      <c r="C6" s="389"/>
      <c r="D6" s="136"/>
      <c r="E6" s="136"/>
      <c r="F6" s="136"/>
      <c r="G6" s="136"/>
      <c r="H6" s="136"/>
      <c r="I6" s="136"/>
      <c r="J6" s="136"/>
      <c r="K6" s="554" t="s">
        <v>181</v>
      </c>
      <c r="L6" s="554" t="s">
        <v>238</v>
      </c>
    </row>
    <row r="7" spans="1:12" ht="87" customHeight="1" x14ac:dyDescent="0.25">
      <c r="A7" s="773" t="s">
        <v>194</v>
      </c>
      <c r="B7" s="529" t="s">
        <v>39</v>
      </c>
      <c r="C7" s="313"/>
      <c r="D7" s="136"/>
      <c r="E7" s="136"/>
      <c r="F7" s="136"/>
      <c r="G7" s="136"/>
      <c r="H7" s="136"/>
      <c r="I7" s="136"/>
      <c r="J7" s="136"/>
      <c r="K7" s="391">
        <f>J8+J17+J18+J19+J20+J24+J25+J26+J27+J29+J30+J31+J32+J34+J35+J37+J46+J47+J48+J49+J50+J52</f>
        <v>243360930</v>
      </c>
      <c r="L7" s="391">
        <f>J16+J17+J18+J19+J20+J24+J25+J26+J27+J29+J30+J31+J32+J34+J35+J45+J46+J47+J48+J49+J50+J60</f>
        <v>247519232.25</v>
      </c>
    </row>
    <row r="8" spans="1:12" ht="18.75" x14ac:dyDescent="0.25">
      <c r="A8" s="773"/>
      <c r="B8" s="530" t="s">
        <v>154</v>
      </c>
      <c r="C8" s="315">
        <f>NC_VT!H7</f>
        <v>1138860</v>
      </c>
      <c r="D8" s="322"/>
      <c r="E8" s="322">
        <f>NC_VT!H13</f>
        <v>0</v>
      </c>
      <c r="F8" s="322"/>
      <c r="G8" s="362">
        <f>SUM(C8:F8)</f>
        <v>1138860</v>
      </c>
      <c r="H8" s="362">
        <f>G8*15%</f>
        <v>170829</v>
      </c>
      <c r="I8" s="453">
        <v>5</v>
      </c>
      <c r="J8" s="362">
        <f>(G8+H8)*I8</f>
        <v>6548445</v>
      </c>
      <c r="L8" s="386"/>
    </row>
    <row r="9" spans="1:12" ht="18.75" x14ac:dyDescent="0.25">
      <c r="A9" s="773"/>
      <c r="B9" s="530" t="s">
        <v>155</v>
      </c>
      <c r="C9" s="315">
        <f>NC_VT!H7</f>
        <v>1138860</v>
      </c>
      <c r="D9" s="322"/>
      <c r="E9" s="322">
        <f>NC_VT!H14</f>
        <v>21350</v>
      </c>
      <c r="F9" s="322">
        <f>NC_VT!H24</f>
        <v>320000</v>
      </c>
      <c r="G9" s="362">
        <f>SUM(C9:F9)</f>
        <v>1480210</v>
      </c>
      <c r="H9" s="362">
        <f t="shared" ref="H9:H20" si="0">G9*15%</f>
        <v>222031.5</v>
      </c>
      <c r="I9" s="453">
        <v>5</v>
      </c>
      <c r="J9" s="362">
        <f t="shared" ref="J9:J19" si="1">(G9+H9)*I9</f>
        <v>8511207.5</v>
      </c>
    </row>
    <row r="10" spans="1:12" ht="18.75" x14ac:dyDescent="0.25">
      <c r="A10" s="773"/>
      <c r="B10" s="530" t="s">
        <v>156</v>
      </c>
      <c r="C10" s="315">
        <f>NC_VT!H7</f>
        <v>1138860</v>
      </c>
      <c r="D10" s="322"/>
      <c r="E10" s="322">
        <f>NC_VT!H15</f>
        <v>29890</v>
      </c>
      <c r="F10" s="322">
        <f>NC_VT!H24</f>
        <v>320000</v>
      </c>
      <c r="G10" s="362">
        <f>SUM(C10:F10)</f>
        <v>1488750</v>
      </c>
      <c r="H10" s="362">
        <f t="shared" si="0"/>
        <v>223312.5</v>
      </c>
      <c r="I10" s="453">
        <v>5</v>
      </c>
      <c r="J10" s="362">
        <f t="shared" si="1"/>
        <v>8560312.5</v>
      </c>
    </row>
    <row r="11" spans="1:12" ht="18.75" x14ac:dyDescent="0.25">
      <c r="A11" s="773"/>
      <c r="B11" s="530" t="s">
        <v>157</v>
      </c>
      <c r="C11" s="315">
        <f>NC_VT!H7</f>
        <v>1138860</v>
      </c>
      <c r="D11" s="322"/>
      <c r="E11" s="322">
        <f>NC_VT!H16</f>
        <v>40565</v>
      </c>
      <c r="F11" s="322">
        <f>NC_VT!H24</f>
        <v>320000</v>
      </c>
      <c r="G11" s="362">
        <f t="shared" ref="G11:G20" si="2">SUM(C11:F11)</f>
        <v>1499425</v>
      </c>
      <c r="H11" s="362">
        <f t="shared" si="0"/>
        <v>224913.75</v>
      </c>
      <c r="I11" s="453">
        <v>5</v>
      </c>
      <c r="J11" s="362">
        <f t="shared" si="1"/>
        <v>8621693.75</v>
      </c>
    </row>
    <row r="12" spans="1:12" ht="18.75" x14ac:dyDescent="0.25">
      <c r="A12" s="773"/>
      <c r="B12" s="530" t="s">
        <v>158</v>
      </c>
      <c r="C12" s="315">
        <f>NC_VT!H7</f>
        <v>1138860</v>
      </c>
      <c r="D12" s="322"/>
      <c r="E12" s="322">
        <f>NC_VT!H17</f>
        <v>42700</v>
      </c>
      <c r="F12" s="322">
        <f>NC_VT!H24</f>
        <v>320000</v>
      </c>
      <c r="G12" s="362">
        <f>SUM(C12:F12)</f>
        <v>1501560</v>
      </c>
      <c r="H12" s="362">
        <f t="shared" si="0"/>
        <v>225234</v>
      </c>
      <c r="I12" s="453">
        <v>5</v>
      </c>
      <c r="J12" s="362">
        <f t="shared" si="1"/>
        <v>8633970</v>
      </c>
    </row>
    <row r="13" spans="1:12" ht="18.75" x14ac:dyDescent="0.25">
      <c r="A13" s="773"/>
      <c r="B13" s="530" t="s">
        <v>164</v>
      </c>
      <c r="C13" s="315">
        <f>NC_VT!H7</f>
        <v>1138860</v>
      </c>
      <c r="D13" s="322"/>
      <c r="E13" s="322">
        <f>NC_VT!H18</f>
        <v>51240</v>
      </c>
      <c r="F13" s="322">
        <f>NC_VT!H24</f>
        <v>320000</v>
      </c>
      <c r="G13" s="362">
        <f t="shared" si="2"/>
        <v>1510100</v>
      </c>
      <c r="H13" s="362">
        <f t="shared" si="0"/>
        <v>226515</v>
      </c>
      <c r="I13" s="453">
        <v>5</v>
      </c>
      <c r="J13" s="362">
        <f t="shared" si="1"/>
        <v>8683075</v>
      </c>
    </row>
    <row r="14" spans="1:12" ht="18.75" x14ac:dyDescent="0.25">
      <c r="A14" s="773"/>
      <c r="B14" s="530" t="s">
        <v>160</v>
      </c>
      <c r="C14" s="315">
        <f>NC_VT!H7</f>
        <v>1138860</v>
      </c>
      <c r="D14" s="322"/>
      <c r="E14" s="322">
        <f>NC_VT!H19</f>
        <v>64050</v>
      </c>
      <c r="F14" s="322">
        <f>NC_VT!H23</f>
        <v>400000</v>
      </c>
      <c r="G14" s="362">
        <f t="shared" si="2"/>
        <v>1602910</v>
      </c>
      <c r="H14" s="362">
        <f t="shared" si="0"/>
        <v>240436.5</v>
      </c>
      <c r="I14" s="453">
        <v>5</v>
      </c>
      <c r="J14" s="362">
        <f t="shared" si="1"/>
        <v>9216732.5</v>
      </c>
    </row>
    <row r="15" spans="1:12" ht="18.75" x14ac:dyDescent="0.25">
      <c r="A15" s="773"/>
      <c r="B15" s="530" t="s">
        <v>163</v>
      </c>
      <c r="C15" s="315">
        <f>NC_VT!H7</f>
        <v>1138860</v>
      </c>
      <c r="D15" s="322"/>
      <c r="E15" s="322">
        <f>NC_VT!H20</f>
        <v>70455</v>
      </c>
      <c r="F15" s="322">
        <f>NC_VT!H23</f>
        <v>400000</v>
      </c>
      <c r="G15" s="362">
        <f t="shared" si="2"/>
        <v>1609315</v>
      </c>
      <c r="H15" s="362">
        <f t="shared" si="0"/>
        <v>241397.25</v>
      </c>
      <c r="I15" s="453">
        <v>5</v>
      </c>
      <c r="J15" s="362">
        <f t="shared" si="1"/>
        <v>9253561.25</v>
      </c>
    </row>
    <row r="16" spans="1:12" ht="18.75" x14ac:dyDescent="0.25">
      <c r="A16" s="773"/>
      <c r="B16" s="530" t="s">
        <v>162</v>
      </c>
      <c r="C16" s="315">
        <f>NC_VT!H7</f>
        <v>1138860</v>
      </c>
      <c r="D16" s="322"/>
      <c r="E16" s="322">
        <f>NC_VT!H21</f>
        <v>83265</v>
      </c>
      <c r="F16" s="322">
        <f>NC_VT!H23</f>
        <v>400000</v>
      </c>
      <c r="G16" s="362">
        <f t="shared" si="2"/>
        <v>1622125</v>
      </c>
      <c r="H16" s="362">
        <f t="shared" si="0"/>
        <v>243318.75</v>
      </c>
      <c r="I16" s="453">
        <v>5</v>
      </c>
      <c r="J16" s="362">
        <f t="shared" si="1"/>
        <v>9327218.75</v>
      </c>
    </row>
    <row r="17" spans="1:13" ht="49.5" x14ac:dyDescent="0.25">
      <c r="A17" s="531" t="s">
        <v>195</v>
      </c>
      <c r="B17" s="528" t="s">
        <v>40</v>
      </c>
      <c r="C17" s="363">
        <f>NC_VT!H25</f>
        <v>3416580</v>
      </c>
      <c r="D17" s="362">
        <f>NC_VT!H26</f>
        <v>204500</v>
      </c>
      <c r="E17" s="362"/>
      <c r="F17" s="362"/>
      <c r="G17" s="362">
        <f t="shared" si="2"/>
        <v>3621080</v>
      </c>
      <c r="H17" s="362">
        <f t="shared" si="0"/>
        <v>543162</v>
      </c>
      <c r="I17" s="453">
        <v>5</v>
      </c>
      <c r="J17" s="362">
        <f t="shared" si="1"/>
        <v>20821210</v>
      </c>
    </row>
    <row r="18" spans="1:13" ht="49.5" x14ac:dyDescent="0.25">
      <c r="A18" s="531" t="s">
        <v>196</v>
      </c>
      <c r="B18" s="528" t="s">
        <v>41</v>
      </c>
      <c r="C18" s="363">
        <f>NC_VT!H31</f>
        <v>5124870</v>
      </c>
      <c r="D18" s="362">
        <f>NC_VT!H32</f>
        <v>549500</v>
      </c>
      <c r="E18" s="362"/>
      <c r="F18" s="362"/>
      <c r="G18" s="362">
        <f t="shared" si="2"/>
        <v>5674370</v>
      </c>
      <c r="H18" s="362">
        <f t="shared" si="0"/>
        <v>851155.5</v>
      </c>
      <c r="I18" s="453">
        <v>5</v>
      </c>
      <c r="J18" s="362">
        <f t="shared" si="1"/>
        <v>32627627.5</v>
      </c>
    </row>
    <row r="19" spans="1:13" ht="20.25" customHeight="1" x14ac:dyDescent="0.25">
      <c r="A19" s="532" t="s">
        <v>197</v>
      </c>
      <c r="B19" s="528" t="s">
        <v>42</v>
      </c>
      <c r="C19" s="363">
        <f>NC_VT!H37</f>
        <v>3416580</v>
      </c>
      <c r="D19" s="362">
        <f>NC_VT!H32</f>
        <v>549500</v>
      </c>
      <c r="E19" s="362"/>
      <c r="F19" s="362"/>
      <c r="G19" s="362">
        <f t="shared" si="2"/>
        <v>3966080</v>
      </c>
      <c r="H19" s="362">
        <f t="shared" si="0"/>
        <v>594912</v>
      </c>
      <c r="I19" s="453">
        <v>5</v>
      </c>
      <c r="J19" s="362">
        <f t="shared" si="1"/>
        <v>22804960</v>
      </c>
    </row>
    <row r="20" spans="1:13" ht="33" x14ac:dyDescent="0.25">
      <c r="A20" s="532">
        <v>2</v>
      </c>
      <c r="B20" s="528" t="s">
        <v>43</v>
      </c>
      <c r="C20" s="363">
        <f>NC_VT!H41</f>
        <v>597645</v>
      </c>
      <c r="D20" s="362">
        <f>NC_VT!H42</f>
        <v>192500</v>
      </c>
      <c r="E20" s="362"/>
      <c r="F20" s="362"/>
      <c r="G20" s="362">
        <f t="shared" si="2"/>
        <v>790145</v>
      </c>
      <c r="H20" s="362">
        <f t="shared" si="0"/>
        <v>118521.75</v>
      </c>
      <c r="I20" s="453"/>
      <c r="J20" s="362">
        <f>G20+H20</f>
        <v>908666.75</v>
      </c>
    </row>
    <row r="21" spans="1:13" ht="32.25" customHeight="1" x14ac:dyDescent="0.25">
      <c r="A21" s="533" t="s">
        <v>144</v>
      </c>
      <c r="B21" s="534" t="s">
        <v>199</v>
      </c>
      <c r="C21" s="363"/>
      <c r="D21" s="363"/>
      <c r="E21" s="362"/>
      <c r="F21" s="362"/>
      <c r="G21" s="362"/>
      <c r="H21" s="362"/>
      <c r="I21" s="453"/>
      <c r="J21" s="362"/>
    </row>
    <row r="22" spans="1:13" ht="33" x14ac:dyDescent="0.25">
      <c r="A22" s="533">
        <v>1</v>
      </c>
      <c r="B22" s="535" t="s">
        <v>146</v>
      </c>
      <c r="C22" s="363"/>
      <c r="D22" s="363"/>
      <c r="E22" s="362"/>
      <c r="F22" s="362"/>
      <c r="G22" s="362"/>
      <c r="H22" s="362"/>
      <c r="I22" s="453"/>
      <c r="J22" s="362"/>
    </row>
    <row r="23" spans="1:13" ht="33" x14ac:dyDescent="0.25">
      <c r="A23" s="536" t="s">
        <v>194</v>
      </c>
      <c r="B23" s="528" t="s">
        <v>72</v>
      </c>
      <c r="C23" s="363"/>
      <c r="D23" s="363"/>
      <c r="E23" s="362"/>
      <c r="F23" s="362"/>
      <c r="G23" s="362"/>
      <c r="H23" s="362"/>
      <c r="I23" s="453"/>
      <c r="J23" s="362"/>
      <c r="M23" s="391"/>
    </row>
    <row r="24" spans="1:13" ht="66" x14ac:dyDescent="0.25">
      <c r="A24" s="536" t="s">
        <v>225</v>
      </c>
      <c r="B24" s="528" t="s">
        <v>214</v>
      </c>
      <c r="C24" s="363">
        <f>NC_VT!H48</f>
        <v>2706075</v>
      </c>
      <c r="D24" s="362">
        <f>NC_VT!H49</f>
        <v>295000</v>
      </c>
      <c r="E24" s="364"/>
      <c r="F24" s="364"/>
      <c r="G24" s="362">
        <f t="shared" ref="G24:G35" si="3">SUM(C24:F24)</f>
        <v>3001075</v>
      </c>
      <c r="H24" s="362">
        <f t="shared" ref="H24:H35" si="4">G24*15%</f>
        <v>450161.25</v>
      </c>
      <c r="I24" s="453">
        <v>5</v>
      </c>
      <c r="J24" s="362">
        <f>(G24+H24)*I24</f>
        <v>17256181.25</v>
      </c>
    </row>
    <row r="25" spans="1:13" ht="76.5" customHeight="1" x14ac:dyDescent="0.25">
      <c r="A25" s="536" t="s">
        <v>226</v>
      </c>
      <c r="B25" s="528" t="s">
        <v>200</v>
      </c>
      <c r="C25" s="363">
        <f>NC_VT!H53</f>
        <v>569430</v>
      </c>
      <c r="D25" s="362">
        <f>NC_VT!H54</f>
        <v>192500</v>
      </c>
      <c r="E25" s="364"/>
      <c r="F25" s="364"/>
      <c r="G25" s="362">
        <f t="shared" si="3"/>
        <v>761930</v>
      </c>
      <c r="H25" s="362">
        <f t="shared" si="4"/>
        <v>114289.5</v>
      </c>
      <c r="I25" s="453"/>
      <c r="J25" s="362">
        <f>G25+H25</f>
        <v>876219.5</v>
      </c>
    </row>
    <row r="26" spans="1:13" ht="135" customHeight="1" x14ac:dyDescent="0.25">
      <c r="A26" s="536" t="s">
        <v>195</v>
      </c>
      <c r="B26" s="528" t="s">
        <v>201</v>
      </c>
      <c r="C26" s="363">
        <f>NC_VT!H57</f>
        <v>1138860</v>
      </c>
      <c r="D26" s="362">
        <f>NC_VT!H58</f>
        <v>75500</v>
      </c>
      <c r="E26" s="364"/>
      <c r="F26" s="364"/>
      <c r="G26" s="362">
        <f t="shared" si="3"/>
        <v>1214360</v>
      </c>
      <c r="H26" s="362">
        <f t="shared" si="4"/>
        <v>182154</v>
      </c>
      <c r="I26" s="453"/>
      <c r="J26" s="362">
        <f>G26+H26</f>
        <v>1396514</v>
      </c>
    </row>
    <row r="27" spans="1:13" ht="66" x14ac:dyDescent="0.25">
      <c r="A27" s="536" t="s">
        <v>196</v>
      </c>
      <c r="B27" s="537" t="s">
        <v>248</v>
      </c>
      <c r="C27" s="363">
        <f>NC_VT!H61</f>
        <v>3416580</v>
      </c>
      <c r="D27" s="362">
        <f>NC_VT!H62</f>
        <v>290000</v>
      </c>
      <c r="E27" s="364"/>
      <c r="F27" s="364"/>
      <c r="G27" s="362">
        <f t="shared" si="3"/>
        <v>3706580</v>
      </c>
      <c r="H27" s="362">
        <f t="shared" si="4"/>
        <v>555987</v>
      </c>
      <c r="I27" s="453"/>
      <c r="J27" s="362">
        <f>G27+H27</f>
        <v>4262567</v>
      </c>
    </row>
    <row r="28" spans="1:13" ht="82.5" x14ac:dyDescent="0.25">
      <c r="A28" s="536" t="s">
        <v>197</v>
      </c>
      <c r="B28" s="339" t="s">
        <v>49</v>
      </c>
      <c r="C28" s="363"/>
      <c r="D28" s="364"/>
      <c r="E28" s="364"/>
      <c r="F28" s="364"/>
      <c r="G28" s="362"/>
      <c r="H28" s="362"/>
      <c r="I28" s="453"/>
      <c r="J28" s="362"/>
    </row>
    <row r="29" spans="1:13" ht="66" x14ac:dyDescent="0.25">
      <c r="A29" s="536" t="s">
        <v>227</v>
      </c>
      <c r="B29" s="528" t="s">
        <v>50</v>
      </c>
      <c r="C29" s="363">
        <f>NC_VT!H67</f>
        <v>5124870</v>
      </c>
      <c r="D29" s="362">
        <f>NC_VT!H68</f>
        <v>502500</v>
      </c>
      <c r="E29" s="364"/>
      <c r="F29" s="364"/>
      <c r="G29" s="362">
        <f t="shared" si="3"/>
        <v>5627370</v>
      </c>
      <c r="H29" s="362">
        <f t="shared" si="4"/>
        <v>844105.5</v>
      </c>
      <c r="I29" s="453">
        <v>5</v>
      </c>
      <c r="J29" s="362">
        <f>(G29+H29)*I29</f>
        <v>32357377.5</v>
      </c>
    </row>
    <row r="30" spans="1:13" ht="49.5" x14ac:dyDescent="0.25">
      <c r="A30" s="536" t="s">
        <v>228</v>
      </c>
      <c r="B30" s="538" t="s">
        <v>51</v>
      </c>
      <c r="C30" s="363">
        <f>NC_VT!H72</f>
        <v>4270725</v>
      </c>
      <c r="D30" s="362">
        <f>NC_VT!H73</f>
        <v>212500</v>
      </c>
      <c r="E30" s="364"/>
      <c r="F30" s="364"/>
      <c r="G30" s="362">
        <f t="shared" si="3"/>
        <v>4483225</v>
      </c>
      <c r="H30" s="362">
        <f t="shared" si="4"/>
        <v>672483.75</v>
      </c>
      <c r="I30" s="453">
        <v>5</v>
      </c>
      <c r="J30" s="362">
        <f>(G30+H30)*I30</f>
        <v>25778543.75</v>
      </c>
    </row>
    <row r="31" spans="1:13" ht="33" x14ac:dyDescent="0.25">
      <c r="A31" s="536" t="s">
        <v>229</v>
      </c>
      <c r="B31" s="528" t="s">
        <v>52</v>
      </c>
      <c r="C31" s="363">
        <f>NC_VT!H77</f>
        <v>597645</v>
      </c>
      <c r="D31" s="362">
        <f>NC_VT!H78</f>
        <v>100000</v>
      </c>
      <c r="E31" s="364"/>
      <c r="F31" s="364"/>
      <c r="G31" s="362">
        <f t="shared" si="3"/>
        <v>697645</v>
      </c>
      <c r="H31" s="362">
        <f t="shared" si="4"/>
        <v>104646.75</v>
      </c>
      <c r="I31" s="453">
        <v>5</v>
      </c>
      <c r="J31" s="362">
        <f>(G31+H31)*I31</f>
        <v>4011458.75</v>
      </c>
    </row>
    <row r="32" spans="1:13" ht="49.5" x14ac:dyDescent="0.25">
      <c r="A32" s="536" t="s">
        <v>230</v>
      </c>
      <c r="B32" s="528" t="s">
        <v>53</v>
      </c>
      <c r="C32" s="363">
        <f>NC_VT!H81</f>
        <v>1764720</v>
      </c>
      <c r="D32" s="362">
        <f>NC_VT!H82</f>
        <v>295000</v>
      </c>
      <c r="E32" s="364"/>
      <c r="F32" s="364"/>
      <c r="G32" s="362">
        <f t="shared" si="3"/>
        <v>2059720</v>
      </c>
      <c r="H32" s="362">
        <f t="shared" si="4"/>
        <v>308958</v>
      </c>
      <c r="I32" s="453">
        <v>5</v>
      </c>
      <c r="J32" s="362">
        <f>(G32+H32)*I32</f>
        <v>11843390</v>
      </c>
    </row>
    <row r="33" spans="1:10" ht="219.75" customHeight="1" x14ac:dyDescent="0.25">
      <c r="A33" s="536" t="s">
        <v>198</v>
      </c>
      <c r="B33" s="339" t="s">
        <v>54</v>
      </c>
      <c r="C33" s="363"/>
      <c r="D33" s="364"/>
      <c r="E33" s="364"/>
      <c r="F33" s="364"/>
      <c r="G33" s="362"/>
      <c r="H33" s="362"/>
      <c r="I33" s="453"/>
      <c r="J33" s="362"/>
    </row>
    <row r="34" spans="1:10" ht="154.5" customHeight="1" x14ac:dyDescent="0.25">
      <c r="A34" s="536" t="s">
        <v>231</v>
      </c>
      <c r="B34" s="528" t="s">
        <v>202</v>
      </c>
      <c r="C34" s="363">
        <f>NC_VT!H87</f>
        <v>3416580</v>
      </c>
      <c r="D34" s="362">
        <f>NC_VT!H93</f>
        <v>202500</v>
      </c>
      <c r="E34" s="364"/>
      <c r="F34" s="364"/>
      <c r="G34" s="362">
        <f t="shared" si="3"/>
        <v>3619080</v>
      </c>
      <c r="H34" s="362">
        <f t="shared" si="4"/>
        <v>542862</v>
      </c>
      <c r="I34" s="453">
        <v>5</v>
      </c>
      <c r="J34" s="362">
        <f>(G34+H34)*I34</f>
        <v>20809710</v>
      </c>
    </row>
    <row r="35" spans="1:10" ht="33" x14ac:dyDescent="0.25">
      <c r="A35" s="539" t="s">
        <v>232</v>
      </c>
      <c r="B35" s="540" t="s">
        <v>67</v>
      </c>
      <c r="C35" s="363">
        <f>NC_VT!H92</f>
        <v>4555440</v>
      </c>
      <c r="D35" s="362">
        <f>NC_VT!H93</f>
        <v>202500</v>
      </c>
      <c r="E35" s="364"/>
      <c r="F35" s="364"/>
      <c r="G35" s="362">
        <f t="shared" si="3"/>
        <v>4757940</v>
      </c>
      <c r="H35" s="362">
        <f t="shared" si="4"/>
        <v>713691</v>
      </c>
      <c r="I35" s="453">
        <v>5</v>
      </c>
      <c r="J35" s="362">
        <f>(G35+H35)*I35</f>
        <v>27358155</v>
      </c>
    </row>
    <row r="36" spans="1:10" ht="33" x14ac:dyDescent="0.25">
      <c r="A36" s="774" t="s">
        <v>234</v>
      </c>
      <c r="B36" s="540" t="s">
        <v>133</v>
      </c>
      <c r="C36" s="451"/>
      <c r="D36" s="452"/>
      <c r="E36" s="452"/>
      <c r="F36" s="364"/>
      <c r="G36" s="365"/>
      <c r="H36" s="365"/>
      <c r="I36" s="449"/>
      <c r="J36" s="366"/>
    </row>
    <row r="37" spans="1:10" ht="18.75" x14ac:dyDescent="0.25">
      <c r="A37" s="775"/>
      <c r="B37" s="530" t="s">
        <v>154</v>
      </c>
      <c r="C37" s="363">
        <f>NC_VT!H97</f>
        <v>854145</v>
      </c>
      <c r="D37" s="364"/>
      <c r="E37" s="362">
        <f>NC_VT!H99</f>
        <v>0</v>
      </c>
      <c r="F37" s="364"/>
      <c r="G37" s="362">
        <f t="shared" ref="G37:G50" si="5">SUM(C37:F37)</f>
        <v>854145</v>
      </c>
      <c r="H37" s="362">
        <f t="shared" ref="H37:H50" si="6">G37*15%</f>
        <v>128121.75</v>
      </c>
      <c r="I37" s="453">
        <v>5</v>
      </c>
      <c r="J37" s="362">
        <f t="shared" ref="J37:J45" si="7">(G37+H37)*I37</f>
        <v>4911333.75</v>
      </c>
    </row>
    <row r="38" spans="1:10" ht="18.75" x14ac:dyDescent="0.25">
      <c r="A38" s="775"/>
      <c r="B38" s="530" t="s">
        <v>155</v>
      </c>
      <c r="C38" s="363">
        <f>NC_VT!H97</f>
        <v>854145</v>
      </c>
      <c r="D38" s="364"/>
      <c r="E38" s="362">
        <f>NC_VT!H100</f>
        <v>21350</v>
      </c>
      <c r="F38" s="362">
        <f>NC_VT!H110</f>
        <v>240000</v>
      </c>
      <c r="G38" s="362">
        <f t="shared" si="5"/>
        <v>1115495</v>
      </c>
      <c r="H38" s="362">
        <f t="shared" si="6"/>
        <v>167324.25</v>
      </c>
      <c r="I38" s="453">
        <v>5</v>
      </c>
      <c r="J38" s="362">
        <f t="shared" si="7"/>
        <v>6414096.25</v>
      </c>
    </row>
    <row r="39" spans="1:10" ht="18.75" x14ac:dyDescent="0.25">
      <c r="A39" s="775"/>
      <c r="B39" s="530" t="s">
        <v>156</v>
      </c>
      <c r="C39" s="363">
        <f>NC_VT!H97</f>
        <v>854145</v>
      </c>
      <c r="D39" s="364"/>
      <c r="E39" s="362">
        <f>NC_VT!H101</f>
        <v>29890</v>
      </c>
      <c r="F39" s="362">
        <v>80000</v>
      </c>
      <c r="G39" s="362">
        <f t="shared" si="5"/>
        <v>964035</v>
      </c>
      <c r="H39" s="362">
        <f t="shared" si="6"/>
        <v>144605.25</v>
      </c>
      <c r="I39" s="453">
        <v>5</v>
      </c>
      <c r="J39" s="362">
        <f t="shared" si="7"/>
        <v>5543201.25</v>
      </c>
    </row>
    <row r="40" spans="1:10" ht="18.75" x14ac:dyDescent="0.25">
      <c r="A40" s="775"/>
      <c r="B40" s="530" t="s">
        <v>157</v>
      </c>
      <c r="C40" s="363">
        <f>NC_VT!H97</f>
        <v>854145</v>
      </c>
      <c r="D40" s="364"/>
      <c r="E40" s="362">
        <f>NC_VT!H102</f>
        <v>40565</v>
      </c>
      <c r="F40" s="362">
        <v>80000</v>
      </c>
      <c r="G40" s="362">
        <f t="shared" si="5"/>
        <v>974710</v>
      </c>
      <c r="H40" s="362">
        <f t="shared" si="6"/>
        <v>146206.5</v>
      </c>
      <c r="I40" s="453">
        <v>5</v>
      </c>
      <c r="J40" s="362">
        <f t="shared" si="7"/>
        <v>5604582.5</v>
      </c>
    </row>
    <row r="41" spans="1:10" ht="18.75" x14ac:dyDescent="0.25">
      <c r="A41" s="775"/>
      <c r="B41" s="530" t="s">
        <v>158</v>
      </c>
      <c r="C41" s="363">
        <f>NC_VT!H97</f>
        <v>854145</v>
      </c>
      <c r="D41" s="364"/>
      <c r="E41" s="362">
        <f>NC_VT!H103</f>
        <v>42700</v>
      </c>
      <c r="F41" s="362">
        <v>80000</v>
      </c>
      <c r="G41" s="362">
        <f t="shared" si="5"/>
        <v>976845</v>
      </c>
      <c r="H41" s="362">
        <f t="shared" si="6"/>
        <v>146526.75</v>
      </c>
      <c r="I41" s="453">
        <v>5</v>
      </c>
      <c r="J41" s="362">
        <f t="shared" si="7"/>
        <v>5616858.75</v>
      </c>
    </row>
    <row r="42" spans="1:10" ht="18.75" x14ac:dyDescent="0.25">
      <c r="A42" s="775"/>
      <c r="B42" s="530" t="s">
        <v>164</v>
      </c>
      <c r="C42" s="363">
        <f>NC_VT!H97</f>
        <v>854145</v>
      </c>
      <c r="D42" s="364"/>
      <c r="E42" s="362">
        <f>NC_VT!H104</f>
        <v>51240</v>
      </c>
      <c r="F42" s="362">
        <v>80000</v>
      </c>
      <c r="G42" s="362">
        <f t="shared" si="5"/>
        <v>985385</v>
      </c>
      <c r="H42" s="362">
        <f t="shared" si="6"/>
        <v>147807.75</v>
      </c>
      <c r="I42" s="453">
        <v>5</v>
      </c>
      <c r="J42" s="362">
        <f t="shared" si="7"/>
        <v>5665963.75</v>
      </c>
    </row>
    <row r="43" spans="1:10" ht="18.75" x14ac:dyDescent="0.25">
      <c r="A43" s="775"/>
      <c r="B43" s="530" t="s">
        <v>160</v>
      </c>
      <c r="C43" s="363">
        <f>NC_VT!H97</f>
        <v>854145</v>
      </c>
      <c r="D43" s="364"/>
      <c r="E43" s="362">
        <f>NC_VT!H105</f>
        <v>64050</v>
      </c>
      <c r="F43" s="362">
        <v>100000</v>
      </c>
      <c r="G43" s="362">
        <f t="shared" si="5"/>
        <v>1018195</v>
      </c>
      <c r="H43" s="362">
        <f t="shared" si="6"/>
        <v>152729.25</v>
      </c>
      <c r="I43" s="453">
        <v>5</v>
      </c>
      <c r="J43" s="362">
        <f t="shared" si="7"/>
        <v>5854621.25</v>
      </c>
    </row>
    <row r="44" spans="1:10" ht="18.75" x14ac:dyDescent="0.25">
      <c r="A44" s="775"/>
      <c r="B44" s="530" t="s">
        <v>163</v>
      </c>
      <c r="C44" s="363">
        <f>NC_VT!H97</f>
        <v>854145</v>
      </c>
      <c r="D44" s="364"/>
      <c r="E44" s="362">
        <f>NC_VT!H106</f>
        <v>70455</v>
      </c>
      <c r="F44" s="362">
        <v>100000</v>
      </c>
      <c r="G44" s="362">
        <f t="shared" si="5"/>
        <v>1024600</v>
      </c>
      <c r="H44" s="362">
        <f t="shared" si="6"/>
        <v>153690</v>
      </c>
      <c r="I44" s="453">
        <v>5</v>
      </c>
      <c r="J44" s="362">
        <f t="shared" si="7"/>
        <v>5891450</v>
      </c>
    </row>
    <row r="45" spans="1:10" ht="18.75" x14ac:dyDescent="0.25">
      <c r="A45" s="775"/>
      <c r="B45" s="530" t="s">
        <v>162</v>
      </c>
      <c r="C45" s="363">
        <f>NC_VT!H97</f>
        <v>854145</v>
      </c>
      <c r="D45" s="364"/>
      <c r="E45" s="362">
        <f>NC_VT!H107</f>
        <v>83265</v>
      </c>
      <c r="F45" s="362">
        <v>100000</v>
      </c>
      <c r="G45" s="362">
        <f t="shared" si="5"/>
        <v>1037410</v>
      </c>
      <c r="H45" s="362">
        <f t="shared" si="6"/>
        <v>155611.5</v>
      </c>
      <c r="I45" s="453">
        <v>5</v>
      </c>
      <c r="J45" s="362">
        <f t="shared" si="7"/>
        <v>5965107.5</v>
      </c>
    </row>
    <row r="46" spans="1:10" ht="33" x14ac:dyDescent="0.25">
      <c r="A46" s="542" t="s">
        <v>235</v>
      </c>
      <c r="B46" s="339" t="s">
        <v>130</v>
      </c>
      <c r="C46" s="363">
        <f>NC_VT!H111</f>
        <v>1708290</v>
      </c>
      <c r="D46" s="362">
        <f>NC_VT!H112</f>
        <v>192500</v>
      </c>
      <c r="E46" s="364"/>
      <c r="F46" s="364"/>
      <c r="G46" s="362">
        <f t="shared" si="5"/>
        <v>1900790</v>
      </c>
      <c r="H46" s="362">
        <f t="shared" si="6"/>
        <v>285118.5</v>
      </c>
      <c r="I46" s="453"/>
      <c r="J46" s="362">
        <f>G46+H46</f>
        <v>2185908.5</v>
      </c>
    </row>
    <row r="47" spans="1:10" ht="82.5" x14ac:dyDescent="0.25">
      <c r="A47" s="542" t="s">
        <v>204</v>
      </c>
      <c r="B47" s="339" t="s">
        <v>73</v>
      </c>
      <c r="C47" s="363">
        <f>NC_VT!H115</f>
        <v>1708290</v>
      </c>
      <c r="D47" s="362">
        <f>NC_VT!H116</f>
        <v>200000</v>
      </c>
      <c r="E47" s="364"/>
      <c r="F47" s="364"/>
      <c r="G47" s="362">
        <f t="shared" si="5"/>
        <v>1908290</v>
      </c>
      <c r="H47" s="362">
        <f t="shared" si="6"/>
        <v>286243.5</v>
      </c>
      <c r="I47" s="453"/>
      <c r="J47" s="362">
        <f>G47+H47</f>
        <v>2194533.5</v>
      </c>
    </row>
    <row r="48" spans="1:10" ht="66" x14ac:dyDescent="0.25">
      <c r="A48" s="536" t="s">
        <v>205</v>
      </c>
      <c r="B48" s="528" t="s">
        <v>74</v>
      </c>
      <c r="C48" s="363">
        <f>NC_VT!H119</f>
        <v>1792935</v>
      </c>
      <c r="D48" s="362">
        <f>NC_VT!H120</f>
        <v>192500</v>
      </c>
      <c r="E48" s="364"/>
      <c r="F48" s="364"/>
      <c r="G48" s="362">
        <f t="shared" si="5"/>
        <v>1985435</v>
      </c>
      <c r="H48" s="362">
        <f t="shared" si="6"/>
        <v>297815.25</v>
      </c>
      <c r="I48" s="453"/>
      <c r="J48" s="362">
        <f>G48+H48</f>
        <v>2283250.25</v>
      </c>
    </row>
    <row r="49" spans="1:12" ht="33" x14ac:dyDescent="0.25">
      <c r="A49" s="536" t="s">
        <v>206</v>
      </c>
      <c r="B49" s="528" t="s">
        <v>55</v>
      </c>
      <c r="C49" s="363">
        <f>NC_VT!H123</f>
        <v>882360</v>
      </c>
      <c r="D49" s="362">
        <f>NC_VT!H124</f>
        <v>83000</v>
      </c>
      <c r="E49" s="364"/>
      <c r="F49" s="364"/>
      <c r="G49" s="362">
        <f t="shared" si="5"/>
        <v>965360</v>
      </c>
      <c r="H49" s="362">
        <f t="shared" si="6"/>
        <v>144804</v>
      </c>
      <c r="I49" s="453"/>
      <c r="J49" s="362">
        <f>G49+H49</f>
        <v>1110164</v>
      </c>
    </row>
    <row r="50" spans="1:12" ht="66" x14ac:dyDescent="0.25">
      <c r="A50" s="536" t="s">
        <v>207</v>
      </c>
      <c r="B50" s="339" t="s">
        <v>75</v>
      </c>
      <c r="C50" s="363">
        <f>NC_VT!H127</f>
        <v>284715</v>
      </c>
      <c r="D50" s="364"/>
      <c r="E50" s="364"/>
      <c r="F50" s="364"/>
      <c r="G50" s="362">
        <f t="shared" si="5"/>
        <v>284715</v>
      </c>
      <c r="H50" s="362">
        <f t="shared" si="6"/>
        <v>42707.25</v>
      </c>
      <c r="I50" s="453"/>
      <c r="J50" s="362">
        <f>G50+H50</f>
        <v>327422.25</v>
      </c>
      <c r="K50" s="724" t="s">
        <v>258</v>
      </c>
      <c r="L50" s="725"/>
    </row>
    <row r="51" spans="1:12" ht="33" x14ac:dyDescent="0.25">
      <c r="A51" s="565" t="s">
        <v>262</v>
      </c>
      <c r="B51" s="448" t="str">
        <f>NC_VT!B128</f>
        <v>Giao đất trên thực địa cho người trúng đấu giá</v>
      </c>
      <c r="C51" s="566"/>
      <c r="D51" s="567"/>
      <c r="E51" s="567"/>
      <c r="F51" s="567"/>
      <c r="G51" s="549"/>
      <c r="H51" s="549"/>
      <c r="I51" s="549"/>
      <c r="J51" s="362"/>
      <c r="K51" s="545"/>
      <c r="L51" s="556"/>
    </row>
    <row r="52" spans="1:12" ht="18.75" x14ac:dyDescent="0.25">
      <c r="A52" s="565"/>
      <c r="B52" s="568" t="s">
        <v>154</v>
      </c>
      <c r="C52" s="566">
        <f>NC_VT!H128</f>
        <v>597645</v>
      </c>
      <c r="D52" s="567"/>
      <c r="E52" s="549">
        <f>NC_VT!H130</f>
        <v>0</v>
      </c>
      <c r="F52" s="567"/>
      <c r="G52" s="362">
        <f t="shared" ref="G52:G60" si="8">SUM(C52:F52)</f>
        <v>597645</v>
      </c>
      <c r="H52" s="362">
        <f t="shared" ref="H52:H60" si="9">G52*15%</f>
        <v>89646.75</v>
      </c>
      <c r="I52" s="549"/>
      <c r="J52" s="362">
        <f t="shared" ref="J52:J60" si="10">G52+H52</f>
        <v>687291.75</v>
      </c>
      <c r="K52" s="545"/>
      <c r="L52" s="556"/>
    </row>
    <row r="53" spans="1:12" ht="18.75" x14ac:dyDescent="0.25">
      <c r="A53" s="565"/>
      <c r="B53" s="568" t="s">
        <v>155</v>
      </c>
      <c r="C53" s="566">
        <f>NC_VT!H128</f>
        <v>597645</v>
      </c>
      <c r="D53" s="567"/>
      <c r="E53" s="549">
        <f>NC_VT!H131</f>
        <v>21350</v>
      </c>
      <c r="F53" s="549">
        <f>NC_VT!H141</f>
        <v>160000</v>
      </c>
      <c r="G53" s="362">
        <f t="shared" si="8"/>
        <v>778995</v>
      </c>
      <c r="H53" s="362">
        <f t="shared" si="9"/>
        <v>116849.25</v>
      </c>
      <c r="I53" s="549"/>
      <c r="J53" s="362">
        <f t="shared" si="10"/>
        <v>895844.25</v>
      </c>
      <c r="K53" s="545"/>
      <c r="L53" s="556"/>
    </row>
    <row r="54" spans="1:12" ht="18.75" x14ac:dyDescent="0.25">
      <c r="A54" s="565"/>
      <c r="B54" s="568" t="s">
        <v>156</v>
      </c>
      <c r="C54" s="566">
        <f>NC_VT!H128</f>
        <v>597645</v>
      </c>
      <c r="D54" s="567"/>
      <c r="E54" s="549">
        <f>NC_VT!H132</f>
        <v>29890</v>
      </c>
      <c r="F54" s="549">
        <f>NC_VT!H141</f>
        <v>160000</v>
      </c>
      <c r="G54" s="362">
        <f t="shared" si="8"/>
        <v>787535</v>
      </c>
      <c r="H54" s="362">
        <f t="shared" si="9"/>
        <v>118130.25</v>
      </c>
      <c r="I54" s="549"/>
      <c r="J54" s="362">
        <f t="shared" si="10"/>
        <v>905665.25</v>
      </c>
      <c r="K54" s="545"/>
      <c r="L54" s="556"/>
    </row>
    <row r="55" spans="1:12" ht="18.75" x14ac:dyDescent="0.25">
      <c r="A55" s="565"/>
      <c r="B55" s="568" t="s">
        <v>157</v>
      </c>
      <c r="C55" s="566">
        <f>NC_VT!H128</f>
        <v>597645</v>
      </c>
      <c r="D55" s="567"/>
      <c r="E55" s="549">
        <f>NC_VT!H133</f>
        <v>40565</v>
      </c>
      <c r="F55" s="549">
        <f>NC_VT!H141</f>
        <v>160000</v>
      </c>
      <c r="G55" s="362">
        <f t="shared" si="8"/>
        <v>798210</v>
      </c>
      <c r="H55" s="362">
        <f t="shared" si="9"/>
        <v>119731.5</v>
      </c>
      <c r="I55" s="549"/>
      <c r="J55" s="362">
        <f t="shared" si="10"/>
        <v>917941.5</v>
      </c>
      <c r="K55" s="545"/>
      <c r="L55" s="556"/>
    </row>
    <row r="56" spans="1:12" ht="18.75" x14ac:dyDescent="0.25">
      <c r="A56" s="565"/>
      <c r="B56" s="568" t="s">
        <v>158</v>
      </c>
      <c r="C56" s="566">
        <f>NC_VT!H128</f>
        <v>597645</v>
      </c>
      <c r="D56" s="567"/>
      <c r="E56" s="549">
        <f>NC_VT!H134</f>
        <v>42700</v>
      </c>
      <c r="F56" s="549">
        <f>NC_VT!H141</f>
        <v>160000</v>
      </c>
      <c r="G56" s="362">
        <f t="shared" si="8"/>
        <v>800345</v>
      </c>
      <c r="H56" s="362">
        <f t="shared" si="9"/>
        <v>120051.75</v>
      </c>
      <c r="I56" s="549"/>
      <c r="J56" s="362">
        <f t="shared" si="10"/>
        <v>920396.75</v>
      </c>
      <c r="K56" s="545"/>
      <c r="L56" s="556"/>
    </row>
    <row r="57" spans="1:12" ht="18.75" x14ac:dyDescent="0.25">
      <c r="A57" s="565"/>
      <c r="B57" s="568" t="s">
        <v>164</v>
      </c>
      <c r="C57" s="566">
        <f>NC_VT!H128</f>
        <v>597645</v>
      </c>
      <c r="D57" s="567"/>
      <c r="E57" s="549">
        <f>NC_VT!H135</f>
        <v>51240</v>
      </c>
      <c r="F57" s="549">
        <f>NC_VT!H141</f>
        <v>160000</v>
      </c>
      <c r="G57" s="362">
        <f t="shared" si="8"/>
        <v>808885</v>
      </c>
      <c r="H57" s="362">
        <f t="shared" si="9"/>
        <v>121332.75</v>
      </c>
      <c r="I57" s="549"/>
      <c r="J57" s="362">
        <f t="shared" si="10"/>
        <v>930217.75</v>
      </c>
      <c r="K57" s="545"/>
      <c r="L57" s="556"/>
    </row>
    <row r="58" spans="1:12" ht="18.75" x14ac:dyDescent="0.25">
      <c r="A58" s="565"/>
      <c r="B58" s="568" t="s">
        <v>160</v>
      </c>
      <c r="C58" s="566">
        <f>NC_VT!H128</f>
        <v>597645</v>
      </c>
      <c r="D58" s="567"/>
      <c r="E58" s="549">
        <f>NC_VT!H136</f>
        <v>64050</v>
      </c>
      <c r="F58" s="549">
        <f>NC_VT!H140</f>
        <v>200000</v>
      </c>
      <c r="G58" s="362">
        <f t="shared" si="8"/>
        <v>861695</v>
      </c>
      <c r="H58" s="362">
        <f t="shared" si="9"/>
        <v>129254.25</v>
      </c>
      <c r="I58" s="549"/>
      <c r="J58" s="362">
        <f t="shared" si="10"/>
        <v>990949.25</v>
      </c>
      <c r="K58" s="545"/>
      <c r="L58" s="556"/>
    </row>
    <row r="59" spans="1:12" ht="18.75" x14ac:dyDescent="0.25">
      <c r="A59" s="565"/>
      <c r="B59" s="568" t="s">
        <v>163</v>
      </c>
      <c r="C59" s="566">
        <f>NC_VT!H128</f>
        <v>597645</v>
      </c>
      <c r="D59" s="567"/>
      <c r="E59" s="549">
        <f>NC_VT!H137</f>
        <v>70455</v>
      </c>
      <c r="F59" s="549">
        <f>NC_VT!H140</f>
        <v>200000</v>
      </c>
      <c r="G59" s="362">
        <f t="shared" si="8"/>
        <v>868100</v>
      </c>
      <c r="H59" s="362">
        <f t="shared" si="9"/>
        <v>130215</v>
      </c>
      <c r="I59" s="549"/>
      <c r="J59" s="362">
        <f t="shared" si="10"/>
        <v>998315</v>
      </c>
      <c r="K59" s="545"/>
      <c r="L59" s="556"/>
    </row>
    <row r="60" spans="1:12" ht="18.75" x14ac:dyDescent="0.25">
      <c r="A60" s="565"/>
      <c r="B60" s="568" t="s">
        <v>162</v>
      </c>
      <c r="C60" s="566">
        <f>NC_VT!H128</f>
        <v>597645</v>
      </c>
      <c r="D60" s="567"/>
      <c r="E60" s="549">
        <f>NC_VT!H138</f>
        <v>83265</v>
      </c>
      <c r="F60" s="549">
        <f>NC_VT!H140</f>
        <v>200000</v>
      </c>
      <c r="G60" s="362">
        <f t="shared" si="8"/>
        <v>880910</v>
      </c>
      <c r="H60" s="362">
        <f t="shared" si="9"/>
        <v>132136.5</v>
      </c>
      <c r="I60" s="549"/>
      <c r="J60" s="362">
        <f t="shared" si="10"/>
        <v>1013046.5</v>
      </c>
      <c r="K60" s="545"/>
      <c r="L60" s="556"/>
    </row>
    <row r="61" spans="1:12" ht="34.9" customHeight="1" x14ac:dyDescent="0.25">
      <c r="A61" s="533">
        <v>2</v>
      </c>
      <c r="B61" s="535" t="s">
        <v>203</v>
      </c>
      <c r="C61" s="367"/>
      <c r="D61" s="365"/>
      <c r="E61" s="365"/>
      <c r="F61" s="365"/>
      <c r="G61" s="365"/>
      <c r="H61" s="365"/>
      <c r="I61" s="449"/>
      <c r="J61" s="366"/>
      <c r="K61" s="340" t="s">
        <v>181</v>
      </c>
      <c r="L61" s="523" t="s">
        <v>238</v>
      </c>
    </row>
    <row r="62" spans="1:12" ht="33" x14ac:dyDescent="0.25">
      <c r="A62" s="536" t="s">
        <v>208</v>
      </c>
      <c r="B62" s="528" t="s">
        <v>72</v>
      </c>
      <c r="C62" s="363"/>
      <c r="D62" s="363"/>
      <c r="E62" s="362"/>
      <c r="F62" s="362"/>
      <c r="G62" s="362"/>
      <c r="H62" s="362"/>
      <c r="I62" s="453"/>
      <c r="J62" s="362"/>
      <c r="K62" s="391">
        <f>J8+J17+J18+J19+J20+J63+J64+J65+J66+J68+J69+J70+J71+J73+J74+J76+J85</f>
        <v>201634248.34999999</v>
      </c>
      <c r="L62" s="391">
        <f>J16+J17+J18+J19+J20+J63+J64+J65+J66+J68+J69+J70+J71+J73+J74+J84+J85</f>
        <v>205466795.84999999</v>
      </c>
    </row>
    <row r="63" spans="1:12" ht="66" x14ac:dyDescent="0.25">
      <c r="A63" s="536" t="s">
        <v>215</v>
      </c>
      <c r="B63" s="528" t="s">
        <v>214</v>
      </c>
      <c r="C63" s="363">
        <v>1792024</v>
      </c>
      <c r="D63" s="362">
        <v>295000</v>
      </c>
      <c r="E63" s="364"/>
      <c r="F63" s="364"/>
      <c r="G63" s="362">
        <f>SUM(C63:F63)</f>
        <v>2087024</v>
      </c>
      <c r="H63" s="362">
        <f>G63*15%</f>
        <v>313053.59999999998</v>
      </c>
      <c r="I63" s="453">
        <v>5</v>
      </c>
      <c r="J63" s="362">
        <f>(G63+H63)*I63</f>
        <v>12000388</v>
      </c>
    </row>
    <row r="64" spans="1:12" ht="66" x14ac:dyDescent="0.25">
      <c r="A64" s="536" t="s">
        <v>216</v>
      </c>
      <c r="B64" s="528" t="s">
        <v>200</v>
      </c>
      <c r="C64" s="363">
        <v>471362</v>
      </c>
      <c r="D64" s="362">
        <v>192500</v>
      </c>
      <c r="E64" s="364"/>
      <c r="F64" s="364"/>
      <c r="G64" s="362">
        <f>SUM(C64:F64)</f>
        <v>663862</v>
      </c>
      <c r="H64" s="362">
        <f>G64*15%</f>
        <v>99579.3</v>
      </c>
      <c r="I64" s="453"/>
      <c r="J64" s="362">
        <f>G64+H64</f>
        <v>763441.3</v>
      </c>
    </row>
    <row r="65" spans="1:10" ht="82.5" x14ac:dyDescent="0.25">
      <c r="A65" s="536" t="s">
        <v>209</v>
      </c>
      <c r="B65" s="528" t="s">
        <v>165</v>
      </c>
      <c r="C65" s="363">
        <v>942724</v>
      </c>
      <c r="D65" s="362">
        <v>75500</v>
      </c>
      <c r="E65" s="364"/>
      <c r="F65" s="364"/>
      <c r="G65" s="362">
        <f>SUM(C65:F65)</f>
        <v>1018224</v>
      </c>
      <c r="H65" s="362">
        <f>G65*15%</f>
        <v>152733.6</v>
      </c>
      <c r="I65" s="453"/>
      <c r="J65" s="362">
        <f>G65+H65</f>
        <v>1170957.6000000001</v>
      </c>
    </row>
    <row r="66" spans="1:10" ht="66" x14ac:dyDescent="0.25">
      <c r="A66" s="536" t="s">
        <v>210</v>
      </c>
      <c r="B66" s="528" t="s">
        <v>248</v>
      </c>
      <c r="C66" s="363">
        <v>2828172</v>
      </c>
      <c r="D66" s="362">
        <v>290000</v>
      </c>
      <c r="E66" s="364"/>
      <c r="F66" s="364"/>
      <c r="G66" s="362">
        <f>SUM(C66:F66)</f>
        <v>3118172</v>
      </c>
      <c r="H66" s="362">
        <f>G66*15%</f>
        <v>467725.8</v>
      </c>
      <c r="I66" s="453"/>
      <c r="J66" s="362">
        <f>G66+H66</f>
        <v>3585897.8</v>
      </c>
    </row>
    <row r="67" spans="1:10" ht="82.5" x14ac:dyDescent="0.25">
      <c r="A67" s="536" t="s">
        <v>211</v>
      </c>
      <c r="B67" s="339" t="s">
        <v>213</v>
      </c>
      <c r="C67" s="363"/>
      <c r="D67" s="364"/>
      <c r="E67" s="364"/>
      <c r="F67" s="364"/>
      <c r="G67" s="362"/>
      <c r="H67" s="362"/>
      <c r="I67" s="453"/>
      <c r="J67" s="362"/>
    </row>
    <row r="68" spans="1:10" ht="66" x14ac:dyDescent="0.25">
      <c r="A68" s="536" t="s">
        <v>217</v>
      </c>
      <c r="B68" s="528" t="s">
        <v>50</v>
      </c>
      <c r="C68" s="363">
        <v>2828172</v>
      </c>
      <c r="D68" s="362">
        <v>502500</v>
      </c>
      <c r="E68" s="364"/>
      <c r="F68" s="364"/>
      <c r="G68" s="362">
        <f>SUM(C68:F68)</f>
        <v>3330672</v>
      </c>
      <c r="H68" s="362">
        <f>G68*15%</f>
        <v>499600.8</v>
      </c>
      <c r="I68" s="453">
        <v>5</v>
      </c>
      <c r="J68" s="362">
        <f>(G68+H68)*I68</f>
        <v>19151364</v>
      </c>
    </row>
    <row r="69" spans="1:10" ht="49.5" x14ac:dyDescent="0.25">
      <c r="A69" s="536" t="s">
        <v>218</v>
      </c>
      <c r="B69" s="538" t="s">
        <v>51</v>
      </c>
      <c r="C69" s="363">
        <v>3535215</v>
      </c>
      <c r="D69" s="362">
        <v>212500</v>
      </c>
      <c r="E69" s="364"/>
      <c r="F69" s="364"/>
      <c r="G69" s="362">
        <f>SUM(C69:F69)</f>
        <v>3747715</v>
      </c>
      <c r="H69" s="362">
        <f>G69*15%</f>
        <v>562157.25</v>
      </c>
      <c r="I69" s="453">
        <v>5</v>
      </c>
      <c r="J69" s="362">
        <f>(G69+H69)*I69</f>
        <v>21549361.25</v>
      </c>
    </row>
    <row r="70" spans="1:10" ht="33" x14ac:dyDescent="0.25">
      <c r="A70" s="536" t="s">
        <v>219</v>
      </c>
      <c r="B70" s="528" t="s">
        <v>52</v>
      </c>
      <c r="C70" s="363">
        <v>494718</v>
      </c>
      <c r="D70" s="362">
        <v>100000</v>
      </c>
      <c r="E70" s="364"/>
      <c r="F70" s="364"/>
      <c r="G70" s="362">
        <f>SUM(C70:F70)</f>
        <v>594718</v>
      </c>
      <c r="H70" s="362">
        <f>G70*15%</f>
        <v>89207.7</v>
      </c>
      <c r="I70" s="453">
        <v>5</v>
      </c>
      <c r="J70" s="362">
        <f>(G70+H70)*I70</f>
        <v>3419628.5</v>
      </c>
    </row>
    <row r="71" spans="1:10" ht="49.5" x14ac:dyDescent="0.25">
      <c r="A71" s="536" t="s">
        <v>220</v>
      </c>
      <c r="B71" s="528" t="s">
        <v>53</v>
      </c>
      <c r="C71" s="363">
        <v>1460798</v>
      </c>
      <c r="D71" s="362">
        <v>295000</v>
      </c>
      <c r="E71" s="364"/>
      <c r="F71" s="364"/>
      <c r="G71" s="362">
        <f>SUM(C71:F71)</f>
        <v>1755798</v>
      </c>
      <c r="H71" s="362">
        <f>G71*15%</f>
        <v>263369.7</v>
      </c>
      <c r="I71" s="453">
        <v>5</v>
      </c>
      <c r="J71" s="362">
        <f>(G71+H71)*I71</f>
        <v>10095838.5</v>
      </c>
    </row>
    <row r="72" spans="1:10" ht="214.5" x14ac:dyDescent="0.25">
      <c r="A72" s="536" t="s">
        <v>212</v>
      </c>
      <c r="B72" s="339" t="s">
        <v>54</v>
      </c>
      <c r="C72" s="363"/>
      <c r="D72" s="364"/>
      <c r="E72" s="364"/>
      <c r="F72" s="364"/>
      <c r="G72" s="362"/>
      <c r="H72" s="362"/>
      <c r="I72" s="453"/>
      <c r="J72" s="362"/>
    </row>
    <row r="73" spans="1:10" ht="155.44999999999999" customHeight="1" x14ac:dyDescent="0.25">
      <c r="A73" s="536" t="s">
        <v>221</v>
      </c>
      <c r="B73" s="528" t="s">
        <v>202</v>
      </c>
      <c r="C73" s="363">
        <v>2828172</v>
      </c>
      <c r="D73" s="362">
        <v>202500</v>
      </c>
      <c r="E73" s="364"/>
      <c r="F73" s="364"/>
      <c r="G73" s="362">
        <f>SUM(C73:F73)</f>
        <v>3030672</v>
      </c>
      <c r="H73" s="362">
        <f>G73*15%</f>
        <v>454600.8</v>
      </c>
      <c r="I73" s="453">
        <v>5</v>
      </c>
      <c r="J73" s="362">
        <f t="shared" ref="J73:J84" si="11">(G73+H73)*I73</f>
        <v>17426364</v>
      </c>
    </row>
    <row r="74" spans="1:10" ht="33" x14ac:dyDescent="0.25">
      <c r="A74" s="536" t="s">
        <v>222</v>
      </c>
      <c r="B74" s="528" t="s">
        <v>67</v>
      </c>
      <c r="C74" s="363">
        <v>3770896</v>
      </c>
      <c r="D74" s="362">
        <v>202500</v>
      </c>
      <c r="E74" s="364"/>
      <c r="F74" s="364"/>
      <c r="G74" s="362">
        <f>SUM(C74:F74)</f>
        <v>3973396</v>
      </c>
      <c r="H74" s="362">
        <f>G74*15%</f>
        <v>596009.4</v>
      </c>
      <c r="I74" s="453">
        <v>5</v>
      </c>
      <c r="J74" s="362">
        <f t="shared" si="11"/>
        <v>22847027</v>
      </c>
    </row>
    <row r="75" spans="1:10" ht="33" x14ac:dyDescent="0.25">
      <c r="A75" s="536" t="s">
        <v>223</v>
      </c>
      <c r="B75" s="529" t="s">
        <v>133</v>
      </c>
      <c r="C75" s="451"/>
      <c r="D75" s="452"/>
      <c r="E75" s="452"/>
      <c r="F75" s="364"/>
      <c r="G75" s="365"/>
      <c r="H75" s="365"/>
      <c r="I75" s="449"/>
      <c r="J75" s="362"/>
    </row>
    <row r="76" spans="1:10" ht="18.75" x14ac:dyDescent="0.25">
      <c r="A76" s="536"/>
      <c r="B76" s="530" t="s">
        <v>154</v>
      </c>
      <c r="C76" s="363">
        <v>707043</v>
      </c>
      <c r="D76" s="364"/>
      <c r="E76" s="362">
        <v>0</v>
      </c>
      <c r="F76" s="364"/>
      <c r="G76" s="362">
        <f t="shared" ref="G76:G85" si="12">SUM(C76:F76)</f>
        <v>707043</v>
      </c>
      <c r="H76" s="362">
        <f t="shared" ref="H76:H85" si="13">G76*15%</f>
        <v>106056.45</v>
      </c>
      <c r="I76" s="453">
        <v>5</v>
      </c>
      <c r="J76" s="362">
        <f t="shared" si="11"/>
        <v>4065497.25</v>
      </c>
    </row>
    <row r="77" spans="1:10" ht="18.75" x14ac:dyDescent="0.25">
      <c r="A77" s="536"/>
      <c r="B77" s="530" t="s">
        <v>155</v>
      </c>
      <c r="C77" s="363">
        <v>707043</v>
      </c>
      <c r="D77" s="364"/>
      <c r="E77" s="362">
        <v>21350</v>
      </c>
      <c r="F77" s="362">
        <v>80000</v>
      </c>
      <c r="G77" s="362">
        <f t="shared" si="12"/>
        <v>808393</v>
      </c>
      <c r="H77" s="362">
        <f t="shared" si="13"/>
        <v>121258.95</v>
      </c>
      <c r="I77" s="453">
        <v>5</v>
      </c>
      <c r="J77" s="362">
        <f t="shared" si="11"/>
        <v>4648259.75</v>
      </c>
    </row>
    <row r="78" spans="1:10" ht="18.75" x14ac:dyDescent="0.25">
      <c r="A78" s="536"/>
      <c r="B78" s="530" t="s">
        <v>156</v>
      </c>
      <c r="C78" s="363">
        <v>707043</v>
      </c>
      <c r="D78" s="364"/>
      <c r="E78" s="362">
        <v>29890</v>
      </c>
      <c r="F78" s="362">
        <v>80000</v>
      </c>
      <c r="G78" s="362">
        <f t="shared" si="12"/>
        <v>816933</v>
      </c>
      <c r="H78" s="362">
        <f t="shared" si="13"/>
        <v>122539.95</v>
      </c>
      <c r="I78" s="453">
        <v>5</v>
      </c>
      <c r="J78" s="362">
        <f t="shared" si="11"/>
        <v>4697364.75</v>
      </c>
    </row>
    <row r="79" spans="1:10" ht="18.75" x14ac:dyDescent="0.25">
      <c r="A79" s="536"/>
      <c r="B79" s="530" t="s">
        <v>157</v>
      </c>
      <c r="C79" s="363">
        <v>707043</v>
      </c>
      <c r="D79" s="364"/>
      <c r="E79" s="362">
        <v>40565</v>
      </c>
      <c r="F79" s="362">
        <v>80000</v>
      </c>
      <c r="G79" s="362">
        <f t="shared" si="12"/>
        <v>827608</v>
      </c>
      <c r="H79" s="362">
        <f t="shared" si="13"/>
        <v>124141.2</v>
      </c>
      <c r="I79" s="453">
        <v>5</v>
      </c>
      <c r="J79" s="362">
        <f t="shared" si="11"/>
        <v>4758746</v>
      </c>
    </row>
    <row r="80" spans="1:10" ht="18.75" x14ac:dyDescent="0.25">
      <c r="A80" s="536"/>
      <c r="B80" s="530" t="s">
        <v>158</v>
      </c>
      <c r="C80" s="363">
        <v>707043</v>
      </c>
      <c r="D80" s="364"/>
      <c r="E80" s="362">
        <v>42700</v>
      </c>
      <c r="F80" s="362">
        <v>80000</v>
      </c>
      <c r="G80" s="362">
        <f t="shared" si="12"/>
        <v>829743</v>
      </c>
      <c r="H80" s="362">
        <f t="shared" si="13"/>
        <v>124461.45</v>
      </c>
      <c r="I80" s="453">
        <v>5</v>
      </c>
      <c r="J80" s="362">
        <f t="shared" si="11"/>
        <v>4771022.25</v>
      </c>
    </row>
    <row r="81" spans="1:10" ht="18.75" x14ac:dyDescent="0.25">
      <c r="A81" s="536"/>
      <c r="B81" s="530" t="s">
        <v>164</v>
      </c>
      <c r="C81" s="363">
        <v>707043</v>
      </c>
      <c r="D81" s="364"/>
      <c r="E81" s="362">
        <v>51240</v>
      </c>
      <c r="F81" s="362">
        <v>80000</v>
      </c>
      <c r="G81" s="362">
        <f t="shared" si="12"/>
        <v>838283</v>
      </c>
      <c r="H81" s="362">
        <f t="shared" si="13"/>
        <v>125742.45</v>
      </c>
      <c r="I81" s="453">
        <v>5</v>
      </c>
      <c r="J81" s="362">
        <f t="shared" si="11"/>
        <v>4820127.25</v>
      </c>
    </row>
    <row r="82" spans="1:10" ht="18.75" x14ac:dyDescent="0.25">
      <c r="A82" s="536"/>
      <c r="B82" s="530" t="s">
        <v>160</v>
      </c>
      <c r="C82" s="363">
        <v>707043</v>
      </c>
      <c r="D82" s="364"/>
      <c r="E82" s="362">
        <v>64050</v>
      </c>
      <c r="F82" s="362">
        <v>100000</v>
      </c>
      <c r="G82" s="362">
        <f t="shared" si="12"/>
        <v>871093</v>
      </c>
      <c r="H82" s="362">
        <f t="shared" si="13"/>
        <v>130663.95</v>
      </c>
      <c r="I82" s="453">
        <v>5</v>
      </c>
      <c r="J82" s="362">
        <f t="shared" si="11"/>
        <v>5008784.75</v>
      </c>
    </row>
    <row r="83" spans="1:10" ht="18.75" x14ac:dyDescent="0.25">
      <c r="A83" s="536"/>
      <c r="B83" s="530" t="s">
        <v>163</v>
      </c>
      <c r="C83" s="363">
        <v>707043</v>
      </c>
      <c r="D83" s="364"/>
      <c r="E83" s="362">
        <v>70455</v>
      </c>
      <c r="F83" s="362">
        <v>100000</v>
      </c>
      <c r="G83" s="362">
        <f t="shared" si="12"/>
        <v>877498</v>
      </c>
      <c r="H83" s="362">
        <f t="shared" si="13"/>
        <v>131624.69999999998</v>
      </c>
      <c r="I83" s="453">
        <v>5</v>
      </c>
      <c r="J83" s="362">
        <f t="shared" si="11"/>
        <v>5045613.5</v>
      </c>
    </row>
    <row r="84" spans="1:10" ht="18.75" x14ac:dyDescent="0.25">
      <c r="A84" s="536"/>
      <c r="B84" s="530" t="s">
        <v>162</v>
      </c>
      <c r="C84" s="363">
        <v>707043</v>
      </c>
      <c r="D84" s="364"/>
      <c r="E84" s="362">
        <v>83265</v>
      </c>
      <c r="F84" s="362">
        <v>100000</v>
      </c>
      <c r="G84" s="362">
        <f t="shared" si="12"/>
        <v>890308</v>
      </c>
      <c r="H84" s="362">
        <f t="shared" si="13"/>
        <v>133546.19999999998</v>
      </c>
      <c r="I84" s="453">
        <v>5</v>
      </c>
      <c r="J84" s="362">
        <f t="shared" si="11"/>
        <v>5119271</v>
      </c>
    </row>
    <row r="85" spans="1:10" ht="33" x14ac:dyDescent="0.25">
      <c r="A85" s="536" t="s">
        <v>224</v>
      </c>
      <c r="B85" s="528" t="s">
        <v>130</v>
      </c>
      <c r="C85" s="363">
        <v>1414086</v>
      </c>
      <c r="D85" s="362">
        <v>192500</v>
      </c>
      <c r="E85" s="364"/>
      <c r="F85" s="364"/>
      <c r="G85" s="362">
        <f t="shared" si="12"/>
        <v>1606586</v>
      </c>
      <c r="H85" s="362">
        <f t="shared" si="13"/>
        <v>240987.9</v>
      </c>
      <c r="I85" s="453"/>
      <c r="J85" s="362">
        <f>G85+H85</f>
        <v>1847573.9</v>
      </c>
    </row>
  </sheetData>
  <mergeCells count="6">
    <mergeCell ref="A1:J1"/>
    <mergeCell ref="A2:J2"/>
    <mergeCell ref="A7:A16"/>
    <mergeCell ref="A36:A45"/>
    <mergeCell ref="K50:L50"/>
    <mergeCell ref="K5:L5"/>
  </mergeCells>
  <pageMargins left="0.24" right="0.24" top="0.27" bottom="0.37" header="0.21" footer="0.17"/>
  <pageSetup paperSize="9" scale="93" orientation="landscape" r:id="rId1"/>
  <headerFoot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selection activeCell="A3" sqref="A3"/>
    </sheetView>
  </sheetViews>
  <sheetFormatPr defaultColWidth="9" defaultRowHeight="16.5" x14ac:dyDescent="0.25"/>
  <cols>
    <col min="1" max="1" width="5.75" style="340" bestFit="1" customWidth="1"/>
    <col min="2" max="2" width="36.375" style="340" customWidth="1"/>
    <col min="3" max="3" width="2.75" style="387" hidden="1" customWidth="1"/>
    <col min="4" max="4" width="10.75" style="388" bestFit="1" customWidth="1"/>
    <col min="5" max="5" width="9" style="340"/>
    <col min="6" max="6" width="11.5" style="340" customWidth="1"/>
    <col min="7" max="7" width="13.375" style="340" customWidth="1"/>
    <col min="8" max="8" width="11.125" style="340" bestFit="1" customWidth="1"/>
    <col min="9" max="9" width="13.875" style="340" customWidth="1"/>
    <col min="10" max="10" width="5.75" style="421" bestFit="1" customWidth="1"/>
    <col min="11" max="11" width="11.625" style="386" customWidth="1"/>
    <col min="12" max="13" width="12.25" style="340" bestFit="1" customWidth="1"/>
    <col min="14" max="14" width="10" style="340" bestFit="1" customWidth="1"/>
    <col min="15" max="16384" width="9" style="340"/>
  </cols>
  <sheetData>
    <row r="1" spans="1:11" x14ac:dyDescent="0.25">
      <c r="A1" s="739" t="s">
        <v>117</v>
      </c>
      <c r="B1" s="739"/>
      <c r="C1" s="739"/>
      <c r="D1" s="739"/>
      <c r="E1" s="739"/>
      <c r="F1" s="739"/>
      <c r="G1" s="739"/>
      <c r="H1" s="739"/>
      <c r="I1" s="739"/>
      <c r="J1" s="739"/>
      <c r="K1" s="739"/>
    </row>
    <row r="2" spans="1:11" ht="39.75" customHeight="1" x14ac:dyDescent="0.25">
      <c r="A2" s="776" t="s">
        <v>239</v>
      </c>
      <c r="B2" s="777"/>
      <c r="C2" s="777"/>
      <c r="D2" s="777"/>
      <c r="E2" s="777"/>
      <c r="F2" s="777"/>
      <c r="G2" s="777"/>
      <c r="H2" s="777"/>
      <c r="I2" s="777"/>
      <c r="J2" s="777"/>
      <c r="K2" s="777"/>
    </row>
    <row r="3" spans="1:11" x14ac:dyDescent="0.25">
      <c r="A3" s="341"/>
      <c r="B3" s="341"/>
      <c r="C3" s="341"/>
      <c r="D3" s="342"/>
      <c r="E3" s="341"/>
      <c r="F3" s="341"/>
      <c r="G3" s="341"/>
      <c r="H3" s="341"/>
      <c r="I3" s="341"/>
      <c r="J3" s="394"/>
      <c r="K3" s="343" t="s">
        <v>118</v>
      </c>
    </row>
    <row r="4" spans="1:11" ht="38.25" customHeight="1" x14ac:dyDescent="0.25">
      <c r="A4" s="344" t="s">
        <v>0</v>
      </c>
      <c r="B4" s="344" t="s">
        <v>1</v>
      </c>
      <c r="C4" s="98" t="s">
        <v>4</v>
      </c>
      <c r="D4" s="389" t="s">
        <v>119</v>
      </c>
      <c r="E4" s="136" t="s">
        <v>120</v>
      </c>
      <c r="F4" s="136" t="s">
        <v>121</v>
      </c>
      <c r="G4" s="137" t="s">
        <v>122</v>
      </c>
      <c r="H4" s="136" t="s">
        <v>123</v>
      </c>
      <c r="I4" s="136" t="s">
        <v>124</v>
      </c>
      <c r="J4" s="395" t="s">
        <v>86</v>
      </c>
      <c r="K4" s="136" t="s">
        <v>78</v>
      </c>
    </row>
    <row r="5" spans="1:11" ht="49.5" x14ac:dyDescent="0.25">
      <c r="A5" s="345">
        <v>1</v>
      </c>
      <c r="B5" s="346" t="str">
        <f>Don_gia_PA!B2</f>
        <v>Kiểm tra lại ranh giới, hiện trạng sử dụng khu đất và phối hợp với địa phương xử lý một số vướng mắc phát sinh (nếu có)</v>
      </c>
      <c r="C5" s="347"/>
      <c r="D5" s="314"/>
      <c r="E5" s="217"/>
      <c r="F5" s="217"/>
      <c r="G5" s="217"/>
      <c r="H5" s="217"/>
      <c r="I5" s="217"/>
      <c r="J5" s="396"/>
      <c r="K5" s="217"/>
    </row>
    <row r="6" spans="1:11" x14ac:dyDescent="0.25">
      <c r="A6" s="397"/>
      <c r="B6" s="398" t="s">
        <v>30</v>
      </c>
      <c r="C6" s="399"/>
      <c r="D6" s="400">
        <f>Don_gia_PA!G3</f>
        <v>1138860</v>
      </c>
      <c r="E6" s="401">
        <f>Don_gia_PA!G4</f>
        <v>102000</v>
      </c>
      <c r="F6" s="401">
        <f>Don_gia_PA!G9</f>
        <v>0</v>
      </c>
      <c r="G6" s="401"/>
      <c r="H6" s="402">
        <f>SUM(D6:G6)</f>
        <v>1240860</v>
      </c>
      <c r="I6" s="402">
        <f>H6*15%</f>
        <v>186129</v>
      </c>
      <c r="J6" s="403">
        <v>2</v>
      </c>
      <c r="K6" s="402">
        <f>(H6+I6)*J6</f>
        <v>2853978</v>
      </c>
    </row>
    <row r="7" spans="1:11" x14ac:dyDescent="0.25">
      <c r="A7" s="348"/>
      <c r="B7" s="349" t="s">
        <v>31</v>
      </c>
      <c r="C7" s="350"/>
      <c r="D7" s="351">
        <f>Don_gia_PA!G3</f>
        <v>1138860</v>
      </c>
      <c r="E7" s="352">
        <f>Don_gia_PA!G4</f>
        <v>102000</v>
      </c>
      <c r="F7" s="352">
        <f>Don_gia_PA!G10</f>
        <v>21350</v>
      </c>
      <c r="G7" s="352">
        <f>Don_gia_PA!G20</f>
        <v>160000</v>
      </c>
      <c r="H7" s="353">
        <f>SUM(D7:G7)</f>
        <v>1422210</v>
      </c>
      <c r="I7" s="353">
        <f t="shared" ref="I7:I18" si="0">H7*15%</f>
        <v>213331.5</v>
      </c>
      <c r="J7" s="404">
        <v>2</v>
      </c>
      <c r="K7" s="353">
        <f>(H7+I7)*J7</f>
        <v>3271083</v>
      </c>
    </row>
    <row r="8" spans="1:11" x14ac:dyDescent="0.25">
      <c r="A8" s="348"/>
      <c r="B8" s="349" t="s">
        <v>32</v>
      </c>
      <c r="C8" s="350"/>
      <c r="D8" s="351">
        <f>Don_gia_PA!G3</f>
        <v>1138860</v>
      </c>
      <c r="E8" s="352">
        <f>Don_gia_PA!G4</f>
        <v>102000</v>
      </c>
      <c r="F8" s="352">
        <f>Don_gia_PA!G11</f>
        <v>29890</v>
      </c>
      <c r="G8" s="352">
        <f>Don_gia_PA!G20</f>
        <v>160000</v>
      </c>
      <c r="H8" s="353">
        <f>SUM(D8:G8)</f>
        <v>1430750</v>
      </c>
      <c r="I8" s="353">
        <f t="shared" si="0"/>
        <v>214612.5</v>
      </c>
      <c r="J8" s="404">
        <v>2</v>
      </c>
      <c r="K8" s="353">
        <f>(H8+I8)*J8</f>
        <v>3290725</v>
      </c>
    </row>
    <row r="9" spans="1:11" x14ac:dyDescent="0.25">
      <c r="A9" s="348"/>
      <c r="B9" s="349" t="s">
        <v>172</v>
      </c>
      <c r="C9" s="350"/>
      <c r="D9" s="351">
        <f>Don_gia_PA!G3</f>
        <v>1138860</v>
      </c>
      <c r="E9" s="352">
        <f>Don_gia_PA!G4</f>
        <v>102000</v>
      </c>
      <c r="F9" s="352">
        <f>Don_gia_PA!G12</f>
        <v>40565</v>
      </c>
      <c r="G9" s="352">
        <f>Don_gia_PA!G20</f>
        <v>160000</v>
      </c>
      <c r="H9" s="353">
        <f t="shared" ref="H9:H18" si="1">SUM(D9:G9)</f>
        <v>1441425</v>
      </c>
      <c r="I9" s="353">
        <f t="shared" si="0"/>
        <v>216213.75</v>
      </c>
      <c r="J9" s="404">
        <v>2</v>
      </c>
      <c r="K9" s="353">
        <f t="shared" ref="K9:K17" si="2">(H9+I9)*J9</f>
        <v>3315277.5</v>
      </c>
    </row>
    <row r="10" spans="1:11" x14ac:dyDescent="0.25">
      <c r="A10" s="348"/>
      <c r="B10" s="349" t="s">
        <v>171</v>
      </c>
      <c r="C10" s="350"/>
      <c r="D10" s="351">
        <f>Don_gia_PA!G3</f>
        <v>1138860</v>
      </c>
      <c r="E10" s="352">
        <f>Don_gia_PA!G4</f>
        <v>102000</v>
      </c>
      <c r="F10" s="352">
        <f>Don_gia_PA!G13</f>
        <v>42700</v>
      </c>
      <c r="G10" s="352">
        <f>Don_gia_PA!G20</f>
        <v>160000</v>
      </c>
      <c r="H10" s="353">
        <f>SUM(D10:G10)</f>
        <v>1443560</v>
      </c>
      <c r="I10" s="353">
        <f t="shared" si="0"/>
        <v>216534</v>
      </c>
      <c r="J10" s="404">
        <v>2</v>
      </c>
      <c r="K10" s="353">
        <f t="shared" si="2"/>
        <v>3320188</v>
      </c>
    </row>
    <row r="11" spans="1:11" x14ac:dyDescent="0.25">
      <c r="A11" s="348"/>
      <c r="B11" s="349" t="s">
        <v>138</v>
      </c>
      <c r="C11" s="350"/>
      <c r="D11" s="351">
        <f>Don_gia_PA!G3</f>
        <v>1138860</v>
      </c>
      <c r="E11" s="352">
        <f>E9</f>
        <v>102000</v>
      </c>
      <c r="F11" s="352">
        <f>Don_gia_PA!G14</f>
        <v>51240</v>
      </c>
      <c r="G11" s="352">
        <f>Don_gia_PA!G20</f>
        <v>160000</v>
      </c>
      <c r="H11" s="353">
        <f t="shared" si="1"/>
        <v>1452100</v>
      </c>
      <c r="I11" s="353">
        <f t="shared" si="0"/>
        <v>217815</v>
      </c>
      <c r="J11" s="404">
        <v>2</v>
      </c>
      <c r="K11" s="353">
        <f t="shared" si="2"/>
        <v>3339830</v>
      </c>
    </row>
    <row r="12" spans="1:11" x14ac:dyDescent="0.25">
      <c r="A12" s="348"/>
      <c r="B12" s="349" t="s">
        <v>139</v>
      </c>
      <c r="C12" s="350"/>
      <c r="D12" s="351">
        <f>Don_gia_PA!G3</f>
        <v>1138860</v>
      </c>
      <c r="E12" s="352">
        <f>E6</f>
        <v>102000</v>
      </c>
      <c r="F12" s="352">
        <f>Don_gia_PA!G15</f>
        <v>64050</v>
      </c>
      <c r="G12" s="352">
        <f>Don_gia_PA!G19</f>
        <v>200000</v>
      </c>
      <c r="H12" s="353">
        <f t="shared" si="1"/>
        <v>1504910</v>
      </c>
      <c r="I12" s="353">
        <f t="shared" si="0"/>
        <v>225736.5</v>
      </c>
      <c r="J12" s="404">
        <v>2</v>
      </c>
      <c r="K12" s="353">
        <f t="shared" si="2"/>
        <v>3461293</v>
      </c>
    </row>
    <row r="13" spans="1:11" x14ac:dyDescent="0.25">
      <c r="A13" s="348"/>
      <c r="B13" s="349" t="s">
        <v>35</v>
      </c>
      <c r="C13" s="350"/>
      <c r="D13" s="351">
        <f>Don_gia_PA!G3</f>
        <v>1138860</v>
      </c>
      <c r="E13" s="352">
        <f>E6</f>
        <v>102000</v>
      </c>
      <c r="F13" s="352">
        <f>Don_gia_PA!G16</f>
        <v>70455</v>
      </c>
      <c r="G13" s="352">
        <f>Don_gia_PA!G19</f>
        <v>200000</v>
      </c>
      <c r="H13" s="353">
        <f t="shared" si="1"/>
        <v>1511315</v>
      </c>
      <c r="I13" s="353">
        <f t="shared" si="0"/>
        <v>226697.25</v>
      </c>
      <c r="J13" s="404">
        <v>2</v>
      </c>
      <c r="K13" s="353">
        <f t="shared" si="2"/>
        <v>3476024.5</v>
      </c>
    </row>
    <row r="14" spans="1:11" x14ac:dyDescent="0.25">
      <c r="A14" s="354"/>
      <c r="B14" s="355" t="s">
        <v>36</v>
      </c>
      <c r="C14" s="356"/>
      <c r="D14" s="357">
        <f>Don_gia_PA!G3</f>
        <v>1138860</v>
      </c>
      <c r="E14" s="358">
        <f>E6</f>
        <v>102000</v>
      </c>
      <c r="F14" s="358">
        <f>Don_gia_PA!G17</f>
        <v>83265</v>
      </c>
      <c r="G14" s="358">
        <f>Don_gia_PA!G19</f>
        <v>200000</v>
      </c>
      <c r="H14" s="359">
        <f t="shared" si="1"/>
        <v>1524125</v>
      </c>
      <c r="I14" s="359">
        <f t="shared" si="0"/>
        <v>228618.75</v>
      </c>
      <c r="J14" s="405">
        <v>2</v>
      </c>
      <c r="K14" s="359">
        <f t="shared" si="2"/>
        <v>3505487.5</v>
      </c>
    </row>
    <row r="15" spans="1:11" ht="33" x14ac:dyDescent="0.25">
      <c r="A15" s="360">
        <v>2</v>
      </c>
      <c r="B15" s="361" t="str">
        <f>Don_gia_PA!B21</f>
        <v>Thu thập, rà soát hồ sơ, cơ sở pháp lý để lập Phương án</v>
      </c>
      <c r="C15" s="98"/>
      <c r="D15" s="315">
        <f>Don_gia_PA!G22</f>
        <v>1708290</v>
      </c>
      <c r="E15" s="322">
        <f>Don_gia_PA!G23</f>
        <v>204500</v>
      </c>
      <c r="F15" s="136"/>
      <c r="G15" s="136"/>
      <c r="H15" s="362">
        <f t="shared" si="1"/>
        <v>1912790</v>
      </c>
      <c r="I15" s="362">
        <f t="shared" si="0"/>
        <v>286918.5</v>
      </c>
      <c r="J15" s="406">
        <v>2</v>
      </c>
      <c r="K15" s="362">
        <f t="shared" si="2"/>
        <v>4399417</v>
      </c>
    </row>
    <row r="16" spans="1:11" ht="33" x14ac:dyDescent="0.25">
      <c r="A16" s="360">
        <v>3</v>
      </c>
      <c r="B16" s="361" t="str">
        <f>Don_gia_PA!B28</f>
        <v>Dự thảo Phương án lấy ý kiến các sở, ngành liên quan</v>
      </c>
      <c r="C16" s="98"/>
      <c r="D16" s="315">
        <f>Don_gia_PA!G29</f>
        <v>5124870</v>
      </c>
      <c r="E16" s="322">
        <f>Don_gia_PA!G30</f>
        <v>549500</v>
      </c>
      <c r="F16" s="136"/>
      <c r="G16" s="136"/>
      <c r="H16" s="362">
        <f t="shared" si="1"/>
        <v>5674370</v>
      </c>
      <c r="I16" s="362">
        <f t="shared" si="0"/>
        <v>851155.5</v>
      </c>
      <c r="J16" s="406">
        <v>2</v>
      </c>
      <c r="K16" s="362">
        <f>(H16+I16)*J16</f>
        <v>13051051</v>
      </c>
    </row>
    <row r="17" spans="1:11" ht="25.5" customHeight="1" x14ac:dyDescent="0.25">
      <c r="A17" s="360">
        <v>4</v>
      </c>
      <c r="B17" s="390" t="str">
        <f>Don_gia_PA!B35</f>
        <v>Tổng hợp ý kiến, hoàn chỉnh phương án</v>
      </c>
      <c r="C17" s="98"/>
      <c r="D17" s="315">
        <f>Don_gia_PA!G36</f>
        <v>3501225</v>
      </c>
      <c r="E17" s="322">
        <f>Don_gia_PA!G37</f>
        <v>292500</v>
      </c>
      <c r="F17" s="136"/>
      <c r="G17" s="136"/>
      <c r="H17" s="362">
        <f t="shared" si="1"/>
        <v>3793725</v>
      </c>
      <c r="I17" s="362">
        <f t="shared" si="0"/>
        <v>569058.75</v>
      </c>
      <c r="J17" s="406">
        <v>2</v>
      </c>
      <c r="K17" s="362">
        <f t="shared" si="2"/>
        <v>8725567.5</v>
      </c>
    </row>
    <row r="18" spans="1:11" ht="33" x14ac:dyDescent="0.25">
      <c r="A18" s="360">
        <v>5</v>
      </c>
      <c r="B18" s="361" t="str">
        <f>Don_gia_PA!B40</f>
        <v>Trình cấp thẩm quyền phê duyệt phương án</v>
      </c>
      <c r="C18" s="98"/>
      <c r="D18" s="315">
        <f>Don_gia_PA!G41</f>
        <v>569430</v>
      </c>
      <c r="E18" s="322">
        <f>Don_gia_PA!G42</f>
        <v>192500</v>
      </c>
      <c r="F18" s="136"/>
      <c r="G18" s="136"/>
      <c r="H18" s="362">
        <f t="shared" si="1"/>
        <v>761930</v>
      </c>
      <c r="I18" s="362">
        <f t="shared" si="0"/>
        <v>114289.5</v>
      </c>
      <c r="J18" s="407"/>
      <c r="K18" s="362">
        <f>(H18+I18)</f>
        <v>876219.5</v>
      </c>
    </row>
    <row r="19" spans="1:11" ht="32.25" customHeight="1" x14ac:dyDescent="0.25">
      <c r="A19" s="101">
        <v>6</v>
      </c>
      <c r="B19" s="390" t="str">
        <f>Don_gia_thanh!B45</f>
        <v>Chuẩn bị hồ sơ đấu giá quyền sử dụng đất</v>
      </c>
      <c r="C19" s="101" t="s">
        <v>44</v>
      </c>
      <c r="D19" s="363">
        <f>Don_gia_thanh!G46</f>
        <v>3529440</v>
      </c>
      <c r="E19" s="362">
        <f>Don_gia_thanh!G47</f>
        <v>295000</v>
      </c>
      <c r="F19" s="364"/>
      <c r="G19" s="364"/>
      <c r="H19" s="362">
        <f>SUM(D19:G19)</f>
        <v>3824440</v>
      </c>
      <c r="I19" s="362">
        <f>H19*15%</f>
        <v>573666</v>
      </c>
      <c r="J19" s="407">
        <v>2</v>
      </c>
      <c r="K19" s="362">
        <f>(H19+I19)*J19</f>
        <v>8796212</v>
      </c>
    </row>
    <row r="20" spans="1:11" ht="33" customHeight="1" x14ac:dyDescent="0.25">
      <c r="A20" s="101">
        <v>7</v>
      </c>
      <c r="B20" s="361" t="str">
        <f>Don_gia_thanh!B51</f>
        <v>Trình cơ quan có thẩm quyền quyết định đấu giá quyền sử dụng đất.</v>
      </c>
      <c r="C20" s="101" t="s">
        <v>44</v>
      </c>
      <c r="D20" s="363">
        <f>Don_gia_thanh!G52</f>
        <v>597645</v>
      </c>
      <c r="E20" s="362">
        <f>Don_gia_thanh!G53</f>
        <v>75500</v>
      </c>
      <c r="F20" s="365"/>
      <c r="G20" s="365"/>
      <c r="H20" s="362">
        <f t="shared" ref="H20:H45" si="3">SUM(D20:G20)</f>
        <v>673145</v>
      </c>
      <c r="I20" s="362">
        <f t="shared" ref="I20:I45" si="4">H20*15%</f>
        <v>100971.75</v>
      </c>
      <c r="J20" s="407"/>
      <c r="K20" s="362">
        <f>(H20+I20)</f>
        <v>774116.75</v>
      </c>
    </row>
    <row r="21" spans="1:11" ht="54" customHeight="1" x14ac:dyDescent="0.25">
      <c r="A21" s="101">
        <v>8</v>
      </c>
      <c r="B21" s="238" t="str">
        <f>Don_gia_thanh!B56</f>
        <v>Tổ chức thực hiện xác định giá khởi điểm trình cấp có thẩm quyền phê duyệt giá khởi điểm của thửa đất đấu giá</v>
      </c>
      <c r="C21" s="101" t="s">
        <v>44</v>
      </c>
      <c r="D21" s="363">
        <f>Don_gia_thanh!G57</f>
        <v>1138860</v>
      </c>
      <c r="E21" s="362">
        <f>Don_gia_thanh!G58</f>
        <v>290000</v>
      </c>
      <c r="F21" s="366"/>
      <c r="G21" s="365"/>
      <c r="H21" s="362">
        <f t="shared" si="3"/>
        <v>1428860</v>
      </c>
      <c r="I21" s="362">
        <f t="shared" si="4"/>
        <v>214329</v>
      </c>
      <c r="J21" s="407"/>
      <c r="K21" s="362">
        <f>H21+I21</f>
        <v>1643189</v>
      </c>
    </row>
    <row r="22" spans="1:11" ht="53.25" customHeight="1" x14ac:dyDescent="0.25">
      <c r="A22" s="101">
        <v>9</v>
      </c>
      <c r="B22" s="238" t="str">
        <f>Don_gia_thanh!B62</f>
        <v>Trình cơ quan có thẩm quyền quyết định bước giá để tổ chức đấu giá quyền sử dụng đất theo quy định.</v>
      </c>
      <c r="C22" s="101"/>
      <c r="D22" s="363">
        <f>Don_gia_thanh!G63</f>
        <v>6833160</v>
      </c>
      <c r="E22" s="362">
        <f>Don_gia_thanh!G64</f>
        <v>290000</v>
      </c>
      <c r="F22" s="366"/>
      <c r="G22" s="365"/>
      <c r="H22" s="362">
        <f t="shared" si="3"/>
        <v>7123160</v>
      </c>
      <c r="I22" s="362">
        <f t="shared" si="4"/>
        <v>1068474</v>
      </c>
      <c r="J22" s="407"/>
      <c r="K22" s="362">
        <f>H22+I22</f>
        <v>8191634</v>
      </c>
    </row>
    <row r="23" spans="1:11" ht="49.5" x14ac:dyDescent="0.25">
      <c r="A23" s="101">
        <v>10</v>
      </c>
      <c r="B23" s="238" t="str">
        <f>Don_gia_thanh!B69</f>
        <v>Lựa chọn tổ chức đấu giá tài sản theo Thông tư số 02/2022/TT-BTP ngày 08/02/2022 của Bộ trưởng Bộ Tư pháp.</v>
      </c>
      <c r="C23" s="101"/>
      <c r="D23" s="367"/>
      <c r="E23" s="366"/>
      <c r="F23" s="366"/>
      <c r="G23" s="366"/>
      <c r="H23" s="362"/>
      <c r="I23" s="362"/>
      <c r="J23" s="407"/>
      <c r="K23" s="362"/>
    </row>
    <row r="24" spans="1:11" ht="49.5" x14ac:dyDescent="0.25">
      <c r="A24" s="368" t="s">
        <v>173</v>
      </c>
      <c r="B24" s="239" t="str">
        <f>Don_gia_thanh!B70</f>
        <v xml:space="preserve">Lập hồ sơ, ban hành khung tiêu chí và thông báo công khai tiêu chí lựa chọn tổ chức đấu giá tài sản </v>
      </c>
      <c r="C24" s="368"/>
      <c r="D24" s="369">
        <f>Don_gia_thanh!G71</f>
        <v>3416580</v>
      </c>
      <c r="E24" s="370">
        <f>Don_gia_thanh!G72</f>
        <v>502500</v>
      </c>
      <c r="F24" s="371"/>
      <c r="G24" s="371"/>
      <c r="H24" s="370">
        <f t="shared" si="3"/>
        <v>3919080</v>
      </c>
      <c r="I24" s="370">
        <f t="shared" si="4"/>
        <v>587862</v>
      </c>
      <c r="J24" s="408">
        <v>2</v>
      </c>
      <c r="K24" s="370">
        <f>(H24+I24)*J24</f>
        <v>9013884</v>
      </c>
    </row>
    <row r="25" spans="1:11" ht="33" x14ac:dyDescent="0.25">
      <c r="A25" s="368" t="s">
        <v>175</v>
      </c>
      <c r="B25" s="239" t="str">
        <f>Don_gia_thanh!B76</f>
        <v>Đánh giá, chấm điểm theo tiêu chí lựa chọn tổ chức đấu giá tài sản</v>
      </c>
      <c r="C25" s="368"/>
      <c r="D25" s="369">
        <f>Don_gia_thanh!G77</f>
        <v>4270725</v>
      </c>
      <c r="E25" s="370">
        <f>Don_gia_thanh!G78</f>
        <v>212500</v>
      </c>
      <c r="F25" s="371"/>
      <c r="G25" s="371"/>
      <c r="H25" s="370">
        <f t="shared" si="3"/>
        <v>4483225</v>
      </c>
      <c r="I25" s="370">
        <f t="shared" si="4"/>
        <v>672483.75</v>
      </c>
      <c r="J25" s="408">
        <v>2</v>
      </c>
      <c r="K25" s="370">
        <f>(H25+I25)*J25</f>
        <v>10311417.5</v>
      </c>
    </row>
    <row r="26" spans="1:11" ht="33" x14ac:dyDescent="0.25">
      <c r="A26" s="368" t="s">
        <v>176</v>
      </c>
      <c r="B26" s="239" t="str">
        <f>Don_gia_thanh!B82</f>
        <v>Thông báo kết quả lựa chọn tổ chức đấu giá tài sản</v>
      </c>
      <c r="C26" s="368"/>
      <c r="D26" s="369">
        <f>Don_gia_thanh!G83</f>
        <v>597645</v>
      </c>
      <c r="E26" s="370">
        <f>Don_gia_thanh!G84</f>
        <v>100000</v>
      </c>
      <c r="F26" s="371"/>
      <c r="G26" s="371"/>
      <c r="H26" s="370">
        <f t="shared" si="3"/>
        <v>697645</v>
      </c>
      <c r="I26" s="370">
        <f t="shared" si="4"/>
        <v>104646.75</v>
      </c>
      <c r="J26" s="408">
        <v>2</v>
      </c>
      <c r="K26" s="370">
        <f>(H26+I26)*J26</f>
        <v>1604583.5</v>
      </c>
    </row>
    <row r="27" spans="1:11" ht="33" x14ac:dyDescent="0.25">
      <c r="A27" s="368" t="s">
        <v>177</v>
      </c>
      <c r="B27" s="239" t="str">
        <f>Don_gia_thanh!B87</f>
        <v>Ký hợp đồng với đơn vị thực hiện cuộc bán đấu giá theo quy định</v>
      </c>
      <c r="C27" s="368"/>
      <c r="D27" s="369">
        <f>Don_gia_thanh!G88</f>
        <v>1764720</v>
      </c>
      <c r="E27" s="370">
        <f>Don_gia_thanh!G89</f>
        <v>295000</v>
      </c>
      <c r="F27" s="371"/>
      <c r="G27" s="371"/>
      <c r="H27" s="370">
        <f t="shared" si="3"/>
        <v>2059720</v>
      </c>
      <c r="I27" s="370">
        <f t="shared" si="4"/>
        <v>308958</v>
      </c>
      <c r="J27" s="408">
        <v>2</v>
      </c>
      <c r="K27" s="370">
        <f>(H27+I27)*J27</f>
        <v>4737356</v>
      </c>
    </row>
    <row r="28" spans="1:11" ht="155.25" customHeight="1" x14ac:dyDescent="0.25">
      <c r="A28" s="101">
        <v>11</v>
      </c>
      <c r="B28" s="238" t="str">
        <f>Don_gia_thanh!B93</f>
        <v>Phối hợp đơn vị tổ chức đấu giá tài sản thông báo về việc bán đấu giá tài sản; Ban hành Quy chế cuộc bán đấu giá; Thực hiện việc niêm yết đấu giá tài sản và đăng tải thông tin về việc đấu giá tài sản theo quy định; Xét hồ sơ đăng ký tham gia đấu giá; Tổ chức đấu giá quyền sử dụng đất theo quy định; Báo cáo về kết quả thực hiện đấu giá.</v>
      </c>
      <c r="C28" s="101"/>
      <c r="D28" s="367"/>
      <c r="E28" s="366"/>
      <c r="F28" s="366"/>
      <c r="G28" s="366"/>
      <c r="H28" s="362"/>
      <c r="I28" s="362"/>
      <c r="J28" s="407"/>
      <c r="K28" s="362"/>
    </row>
    <row r="29" spans="1:11" ht="104.25" customHeight="1" x14ac:dyDescent="0.25">
      <c r="A29" s="368" t="s">
        <v>178</v>
      </c>
      <c r="B29" s="239" t="str">
        <f>Don_gia_thanh!B94</f>
        <v>Phối hợp đơn vị tổ chức đấu giá tài sản thông báo về việc bán đấu giá tài sản;Ban hành Quy chế cuộc bán đấu giá; Thực hiện việc niêm yết đấu giá tài sản và đăng tải thông tin về việc đấu giá tài sản theo quy định</v>
      </c>
      <c r="C29" s="368"/>
      <c r="D29" s="369">
        <f>Don_gia_thanh!G94</f>
        <v>3416580</v>
      </c>
      <c r="E29" s="371"/>
      <c r="F29" s="371"/>
      <c r="G29" s="371"/>
      <c r="H29" s="370">
        <f t="shared" si="3"/>
        <v>3416580</v>
      </c>
      <c r="I29" s="370">
        <f t="shared" si="4"/>
        <v>512487</v>
      </c>
      <c r="J29" s="408">
        <v>2</v>
      </c>
      <c r="K29" s="362">
        <f t="shared" ref="K29:K40" si="5">(H29+I29)*J29</f>
        <v>7858134</v>
      </c>
    </row>
    <row r="30" spans="1:11" ht="20.25" customHeight="1" x14ac:dyDescent="0.25">
      <c r="A30" s="368" t="s">
        <v>174</v>
      </c>
      <c r="B30" s="239" t="str">
        <f>Don_gia_thanh!B95</f>
        <v xml:space="preserve"> Xét hồ sơ đăng ký tham gia đấu giá</v>
      </c>
      <c r="C30" s="368"/>
      <c r="D30" s="372">
        <f>Don_gia_thanh!G96</f>
        <v>4555440</v>
      </c>
      <c r="E30" s="371">
        <f>Don_gia_thanh!G97</f>
        <v>202500</v>
      </c>
      <c r="F30" s="371"/>
      <c r="G30" s="371"/>
      <c r="H30" s="370">
        <f t="shared" si="3"/>
        <v>4757940</v>
      </c>
      <c r="I30" s="370">
        <f t="shared" si="4"/>
        <v>713691</v>
      </c>
      <c r="J30" s="408">
        <v>2</v>
      </c>
      <c r="K30" s="362">
        <f t="shared" si="5"/>
        <v>10943262</v>
      </c>
    </row>
    <row r="31" spans="1:11" ht="33" x14ac:dyDescent="0.25">
      <c r="A31" s="373" t="s">
        <v>179</v>
      </c>
      <c r="B31" s="374" t="str">
        <f>Don_gia_thanh!B101</f>
        <v>Tổ chức đấu giá quyền sử dụng đất theo quy định</v>
      </c>
      <c r="C31" s="373"/>
      <c r="D31" s="375"/>
      <c r="E31" s="376"/>
      <c r="F31" s="376"/>
      <c r="G31" s="376"/>
      <c r="H31" s="377"/>
      <c r="I31" s="377"/>
      <c r="J31" s="409"/>
      <c r="K31" s="410"/>
    </row>
    <row r="32" spans="1:11" x14ac:dyDescent="0.25">
      <c r="A32" s="411"/>
      <c r="B32" s="412" t="s">
        <v>30</v>
      </c>
      <c r="C32" s="411"/>
      <c r="D32" s="413">
        <f>Don_gia_thanh!G102</f>
        <v>882360</v>
      </c>
      <c r="E32" s="414"/>
      <c r="F32" s="414">
        <f>Don_gia_thanh!G104</f>
        <v>0</v>
      </c>
      <c r="G32" s="414"/>
      <c r="H32" s="415">
        <f t="shared" si="3"/>
        <v>882360</v>
      </c>
      <c r="I32" s="415">
        <f t="shared" si="4"/>
        <v>132354</v>
      </c>
      <c r="J32" s="416">
        <v>2</v>
      </c>
      <c r="K32" s="402">
        <f t="shared" si="5"/>
        <v>2029428</v>
      </c>
    </row>
    <row r="33" spans="1:14" x14ac:dyDescent="0.25">
      <c r="A33" s="378"/>
      <c r="B33" s="379" t="s">
        <v>31</v>
      </c>
      <c r="C33" s="378"/>
      <c r="D33" s="380">
        <f>Don_gia_thanh!G102</f>
        <v>882360</v>
      </c>
      <c r="E33" s="381"/>
      <c r="F33" s="381">
        <f>Don_gia_thanh!G105</f>
        <v>21350</v>
      </c>
      <c r="G33" s="381">
        <f>Don_gia_thanh!G115</f>
        <v>80000</v>
      </c>
      <c r="H33" s="337">
        <f t="shared" si="3"/>
        <v>983710</v>
      </c>
      <c r="I33" s="337">
        <f t="shared" si="4"/>
        <v>147556.5</v>
      </c>
      <c r="J33" s="417">
        <v>2</v>
      </c>
      <c r="K33" s="353">
        <f t="shared" si="5"/>
        <v>2262533</v>
      </c>
    </row>
    <row r="34" spans="1:14" x14ac:dyDescent="0.25">
      <c r="A34" s="378"/>
      <c r="B34" s="379" t="s">
        <v>32</v>
      </c>
      <c r="C34" s="378"/>
      <c r="D34" s="380">
        <f>Don_gia_thanh!G102</f>
        <v>882360</v>
      </c>
      <c r="E34" s="381"/>
      <c r="F34" s="381">
        <f>Don_gia_thanh!G106</f>
        <v>29890</v>
      </c>
      <c r="G34" s="381">
        <f>Don_gia_thanh!G115</f>
        <v>80000</v>
      </c>
      <c r="H34" s="337">
        <f t="shared" si="3"/>
        <v>992250</v>
      </c>
      <c r="I34" s="337">
        <f t="shared" si="4"/>
        <v>148837.5</v>
      </c>
      <c r="J34" s="417">
        <v>2</v>
      </c>
      <c r="K34" s="353">
        <f t="shared" si="5"/>
        <v>2282175</v>
      </c>
    </row>
    <row r="35" spans="1:14" x14ac:dyDescent="0.25">
      <c r="A35" s="378"/>
      <c r="B35" s="379" t="s">
        <v>172</v>
      </c>
      <c r="C35" s="378"/>
      <c r="D35" s="380">
        <f>Don_gia_thanh!G102</f>
        <v>882360</v>
      </c>
      <c r="E35" s="381"/>
      <c r="F35" s="381">
        <f>Don_gia_thanh!G107</f>
        <v>40565</v>
      </c>
      <c r="G35" s="381">
        <f>Don_gia_thanh!G115</f>
        <v>80000</v>
      </c>
      <c r="H35" s="337">
        <f t="shared" si="3"/>
        <v>1002925</v>
      </c>
      <c r="I35" s="337">
        <f t="shared" si="4"/>
        <v>150438.75</v>
      </c>
      <c r="J35" s="417">
        <v>2</v>
      </c>
      <c r="K35" s="353">
        <f t="shared" si="5"/>
        <v>2306727.5</v>
      </c>
    </row>
    <row r="36" spans="1:14" x14ac:dyDescent="0.25">
      <c r="A36" s="378"/>
      <c r="B36" s="379" t="s">
        <v>171</v>
      </c>
      <c r="C36" s="378"/>
      <c r="D36" s="380">
        <f>Don_gia_thanh!G102</f>
        <v>882360</v>
      </c>
      <c r="E36" s="381"/>
      <c r="F36" s="381">
        <f>Don_gia_thanh!G108</f>
        <v>42700</v>
      </c>
      <c r="G36" s="381">
        <f>Don_gia_thanh!G115</f>
        <v>80000</v>
      </c>
      <c r="H36" s="337">
        <f t="shared" si="3"/>
        <v>1005060</v>
      </c>
      <c r="I36" s="337">
        <f t="shared" si="4"/>
        <v>150759</v>
      </c>
      <c r="J36" s="417">
        <v>2</v>
      </c>
      <c r="K36" s="353">
        <f t="shared" si="5"/>
        <v>2311638</v>
      </c>
    </row>
    <row r="37" spans="1:14" x14ac:dyDescent="0.25">
      <c r="A37" s="378"/>
      <c r="B37" s="379" t="s">
        <v>138</v>
      </c>
      <c r="C37" s="378"/>
      <c r="D37" s="380">
        <f>Don_gia_thanh!G102</f>
        <v>882360</v>
      </c>
      <c r="E37" s="381"/>
      <c r="F37" s="381">
        <f>Don_gia_thanh!G109</f>
        <v>51240</v>
      </c>
      <c r="G37" s="381">
        <f>Don_gia_thanh!G115</f>
        <v>80000</v>
      </c>
      <c r="H37" s="337">
        <f t="shared" si="3"/>
        <v>1013600</v>
      </c>
      <c r="I37" s="337">
        <f>H37*15%</f>
        <v>152040</v>
      </c>
      <c r="J37" s="417">
        <v>2</v>
      </c>
      <c r="K37" s="353">
        <f t="shared" si="5"/>
        <v>2331280</v>
      </c>
    </row>
    <row r="38" spans="1:14" x14ac:dyDescent="0.25">
      <c r="A38" s="378"/>
      <c r="B38" s="379" t="s">
        <v>139</v>
      </c>
      <c r="C38" s="378"/>
      <c r="D38" s="380">
        <f>Don_gia_thanh!G102</f>
        <v>882360</v>
      </c>
      <c r="E38" s="381"/>
      <c r="F38" s="381">
        <f>Don_gia_thanh!G110</f>
        <v>64050</v>
      </c>
      <c r="G38" s="381">
        <f>Don_gia_thanh!G114</f>
        <v>100000</v>
      </c>
      <c r="H38" s="337">
        <f t="shared" si="3"/>
        <v>1046410</v>
      </c>
      <c r="I38" s="337">
        <f t="shared" si="4"/>
        <v>156961.5</v>
      </c>
      <c r="J38" s="417">
        <v>2</v>
      </c>
      <c r="K38" s="353">
        <f t="shared" si="5"/>
        <v>2406743</v>
      </c>
    </row>
    <row r="39" spans="1:14" x14ac:dyDescent="0.25">
      <c r="A39" s="378"/>
      <c r="B39" s="379" t="s">
        <v>35</v>
      </c>
      <c r="C39" s="378"/>
      <c r="D39" s="380">
        <f>Don_gia_thanh!G102</f>
        <v>882360</v>
      </c>
      <c r="E39" s="381"/>
      <c r="F39" s="381">
        <f>Don_gia_thanh!G111</f>
        <v>70455</v>
      </c>
      <c r="G39" s="381">
        <f>Don_gia_thanh!G114</f>
        <v>100000</v>
      </c>
      <c r="H39" s="337">
        <f t="shared" si="3"/>
        <v>1052815</v>
      </c>
      <c r="I39" s="337">
        <f t="shared" si="4"/>
        <v>157922.25</v>
      </c>
      <c r="J39" s="417">
        <v>2</v>
      </c>
      <c r="K39" s="353">
        <f t="shared" si="5"/>
        <v>2421474.5</v>
      </c>
    </row>
    <row r="40" spans="1:14" x14ac:dyDescent="0.25">
      <c r="A40" s="382"/>
      <c r="B40" s="383" t="s">
        <v>36</v>
      </c>
      <c r="C40" s="382"/>
      <c r="D40" s="384">
        <f>Don_gia_thanh!G102</f>
        <v>882360</v>
      </c>
      <c r="E40" s="385"/>
      <c r="F40" s="385">
        <f>Don_gia_thanh!G112</f>
        <v>83265</v>
      </c>
      <c r="G40" s="385">
        <f>Don_gia_thanh!G114</f>
        <v>100000</v>
      </c>
      <c r="H40" s="418">
        <f t="shared" si="3"/>
        <v>1065625</v>
      </c>
      <c r="I40" s="418">
        <f t="shared" si="4"/>
        <v>159843.75</v>
      </c>
      <c r="J40" s="419">
        <v>2</v>
      </c>
      <c r="K40" s="359">
        <f t="shared" si="5"/>
        <v>2450937.5</v>
      </c>
    </row>
    <row r="41" spans="1:14" ht="21.75" customHeight="1" x14ac:dyDescent="0.25">
      <c r="A41" s="420">
        <v>12</v>
      </c>
      <c r="B41" s="339" t="str">
        <f>Don_gia_thanh!B116</f>
        <v>Báo cáo về kết quả thực hiện đấu giá</v>
      </c>
      <c r="C41" s="101"/>
      <c r="D41" s="369">
        <f>Don_gia_thanh!G117</f>
        <v>1792935</v>
      </c>
      <c r="E41" s="370">
        <f>Don_gia_thanh!G118</f>
        <v>192500</v>
      </c>
      <c r="F41" s="371"/>
      <c r="G41" s="371"/>
      <c r="H41" s="370">
        <f t="shared" si="3"/>
        <v>1985435</v>
      </c>
      <c r="I41" s="370">
        <f t="shared" si="4"/>
        <v>297815.25</v>
      </c>
      <c r="J41" s="408"/>
      <c r="K41" s="370">
        <f>H41+I41</f>
        <v>2283250.25</v>
      </c>
    </row>
    <row r="42" spans="1:14" ht="50.25" customHeight="1" x14ac:dyDescent="0.25">
      <c r="A42" s="101">
        <v>13</v>
      </c>
      <c r="B42" s="238" t="str">
        <f>Don_gia_thanh!B121</f>
        <v>Tổ chức ký hợp đồng mua bán tài sản đấu giá theo quy định tại Điều 46 Luật Đấu giá tài sản ngày 17/11/2016</v>
      </c>
      <c r="C42" s="101"/>
      <c r="D42" s="363">
        <f>Don_gia_thanh!G122</f>
        <v>1708290</v>
      </c>
      <c r="E42" s="363">
        <f>Don_gia_thanh!G123</f>
        <v>200000</v>
      </c>
      <c r="F42" s="366"/>
      <c r="G42" s="366"/>
      <c r="H42" s="362">
        <f t="shared" si="3"/>
        <v>1908290</v>
      </c>
      <c r="I42" s="362">
        <f t="shared" si="4"/>
        <v>286243.5</v>
      </c>
      <c r="J42" s="407"/>
      <c r="K42" s="362">
        <f>H42+I42</f>
        <v>2194533.5</v>
      </c>
    </row>
    <row r="43" spans="1:14" ht="50.25" customHeight="1" x14ac:dyDescent="0.25">
      <c r="A43" s="101">
        <v>14</v>
      </c>
      <c r="B43" s="238" t="str">
        <f>Don_gia_thanh!B126</f>
        <v>Trình cơ quan có thẩm quyền phê duyệt kết quả đấu giá đấu giá quyền sử dụng đất</v>
      </c>
      <c r="C43" s="101"/>
      <c r="D43" s="363">
        <f>Don_gia_thanh!G127</f>
        <v>1792935</v>
      </c>
      <c r="E43" s="363">
        <f>Don_gia_thanh!G128</f>
        <v>192500</v>
      </c>
      <c r="F43" s="366"/>
      <c r="G43" s="366"/>
      <c r="H43" s="362">
        <f t="shared" si="3"/>
        <v>1985435</v>
      </c>
      <c r="I43" s="362">
        <f t="shared" si="4"/>
        <v>297815.25</v>
      </c>
      <c r="J43" s="407"/>
      <c r="K43" s="362">
        <f>H43+I43</f>
        <v>2283250.25</v>
      </c>
    </row>
    <row r="44" spans="1:14" ht="21" customHeight="1" x14ac:dyDescent="0.25">
      <c r="A44" s="101">
        <v>15</v>
      </c>
      <c r="B44" s="238" t="str">
        <f>Don_gia_thanh!B131</f>
        <v>Nộp tiền sử dụng đất, tiền thuê đất</v>
      </c>
      <c r="C44" s="101"/>
      <c r="D44" s="363">
        <f>Don_gia_thanh!G132</f>
        <v>882360</v>
      </c>
      <c r="E44" s="363">
        <f>Don_gia_thanh!G133</f>
        <v>83000</v>
      </c>
      <c r="F44" s="366"/>
      <c r="G44" s="366"/>
      <c r="H44" s="362">
        <f t="shared" si="3"/>
        <v>965360</v>
      </c>
      <c r="I44" s="362">
        <f t="shared" si="4"/>
        <v>144804</v>
      </c>
      <c r="J44" s="407"/>
      <c r="K44" s="362">
        <f>H44+I44</f>
        <v>1110164</v>
      </c>
      <c r="L44" s="340" t="s">
        <v>181</v>
      </c>
      <c r="M44" s="340" t="s">
        <v>182</v>
      </c>
    </row>
    <row r="45" spans="1:14" ht="49.5" x14ac:dyDescent="0.25">
      <c r="A45" s="101">
        <v>16</v>
      </c>
      <c r="B45" s="238" t="str">
        <f>Don_gia_thanh!B136</f>
        <v>Cấp giấy chứng nhận quyền sử dụng đất, giao đất trên thực địa cho người trúng đấu giá</v>
      </c>
      <c r="C45" s="101"/>
      <c r="D45" s="363">
        <f>Don_gia_thanh!G136</f>
        <v>284715</v>
      </c>
      <c r="E45" s="363"/>
      <c r="F45" s="366"/>
      <c r="G45" s="366"/>
      <c r="H45" s="362">
        <f t="shared" si="3"/>
        <v>284715</v>
      </c>
      <c r="I45" s="362">
        <f t="shared" si="4"/>
        <v>42707.25</v>
      </c>
      <c r="J45" s="407"/>
      <c r="K45" s="362">
        <f>H45+I45</f>
        <v>327422.25</v>
      </c>
      <c r="L45" s="391">
        <f>K6+K15+K16+K17+K18+K19+K20+K21+K22+K24+K25+K26+K27+K29+K30+K32+K41+K42+K43+K44+K45</f>
        <v>104008070</v>
      </c>
      <c r="M45" s="391">
        <f>K7+K15+K16+K17+K18+K19+K20+K21+K22+K24+K25+K26+K27+K29+K30+K33+K41+K42+K43+K44+K45</f>
        <v>104658280</v>
      </c>
      <c r="N45" s="391"/>
    </row>
    <row r="47" spans="1:14" x14ac:dyDescent="0.25">
      <c r="L47" s="386"/>
      <c r="M47" s="386"/>
    </row>
  </sheetData>
  <mergeCells count="2">
    <mergeCell ref="A1:K1"/>
    <mergeCell ref="A2:K2"/>
  </mergeCells>
  <pageMargins left="0.43" right="0.22" top="0.3" bottom="0.36" header="0.21" footer="0.17"/>
  <pageSetup paperSize="9" orientation="landscape" r:id="rId1"/>
  <headerFoot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selection activeCell="A3" sqref="A3"/>
    </sheetView>
  </sheetViews>
  <sheetFormatPr defaultColWidth="9" defaultRowHeight="16.5" x14ac:dyDescent="0.25"/>
  <cols>
    <col min="1" max="1" width="5.75" style="340" bestFit="1" customWidth="1"/>
    <col min="2" max="2" width="36.375" style="340" customWidth="1"/>
    <col min="3" max="3" width="2.75" style="387" hidden="1" customWidth="1"/>
    <col min="4" max="4" width="10.75" style="388" bestFit="1" customWidth="1"/>
    <col min="5" max="5" width="9" style="340"/>
    <col min="6" max="6" width="9.5" style="340" customWidth="1"/>
    <col min="7" max="7" width="10.375" style="340" customWidth="1"/>
    <col min="8" max="8" width="11.125" style="340" bestFit="1" customWidth="1"/>
    <col min="9" max="9" width="12.75" style="340" customWidth="1"/>
    <col min="10" max="10" width="5.75" style="421" bestFit="1" customWidth="1"/>
    <col min="11" max="11" width="14" style="386" bestFit="1" customWidth="1"/>
    <col min="12" max="13" width="12.25" style="340" bestFit="1" customWidth="1"/>
    <col min="14" max="14" width="10" style="340" bestFit="1" customWidth="1"/>
    <col min="15" max="16384" width="9" style="340"/>
  </cols>
  <sheetData>
    <row r="1" spans="1:11" x14ac:dyDescent="0.25">
      <c r="A1" s="739" t="s">
        <v>117</v>
      </c>
      <c r="B1" s="739"/>
      <c r="C1" s="739"/>
      <c r="D1" s="739"/>
      <c r="E1" s="739"/>
      <c r="F1" s="739"/>
      <c r="G1" s="739"/>
      <c r="H1" s="739"/>
      <c r="I1" s="739"/>
      <c r="J1" s="739"/>
      <c r="K1" s="739"/>
    </row>
    <row r="2" spans="1:11" ht="35.25" customHeight="1" x14ac:dyDescent="0.25">
      <c r="A2" s="776" t="s">
        <v>191</v>
      </c>
      <c r="B2" s="777"/>
      <c r="C2" s="777"/>
      <c r="D2" s="777"/>
      <c r="E2" s="777"/>
      <c r="F2" s="777"/>
      <c r="G2" s="777"/>
      <c r="H2" s="777"/>
      <c r="I2" s="777"/>
      <c r="J2" s="777"/>
      <c r="K2" s="777"/>
    </row>
    <row r="3" spans="1:11" x14ac:dyDescent="0.25">
      <c r="A3" s="341"/>
      <c r="B3" s="341"/>
      <c r="C3" s="341"/>
      <c r="D3" s="342"/>
      <c r="E3" s="341"/>
      <c r="F3" s="341"/>
      <c r="G3" s="341"/>
      <c r="H3" s="341"/>
      <c r="I3" s="341"/>
      <c r="J3" s="394"/>
      <c r="K3" s="343" t="s">
        <v>118</v>
      </c>
    </row>
    <row r="4" spans="1:11" ht="52.5" customHeight="1" x14ac:dyDescent="0.25">
      <c r="A4" s="344" t="s">
        <v>0</v>
      </c>
      <c r="B4" s="344" t="s">
        <v>1</v>
      </c>
      <c r="C4" s="98" t="s">
        <v>4</v>
      </c>
      <c r="D4" s="389" t="s">
        <v>119</v>
      </c>
      <c r="E4" s="136" t="s">
        <v>120</v>
      </c>
      <c r="F4" s="136" t="s">
        <v>121</v>
      </c>
      <c r="G4" s="137" t="s">
        <v>122</v>
      </c>
      <c r="H4" s="136" t="s">
        <v>123</v>
      </c>
      <c r="I4" s="136" t="s">
        <v>124</v>
      </c>
      <c r="J4" s="395" t="s">
        <v>86</v>
      </c>
      <c r="K4" s="136" t="s">
        <v>78</v>
      </c>
    </row>
    <row r="5" spans="1:11" ht="49.5" x14ac:dyDescent="0.25">
      <c r="A5" s="424">
        <v>1</v>
      </c>
      <c r="B5" s="425" t="str">
        <f>Don_gia_PA!B2</f>
        <v>Kiểm tra lại ranh giới, hiện trạng sử dụng khu đất và phối hợp với địa phương xử lý một số vướng mắc phát sinh (nếu có)</v>
      </c>
      <c r="C5" s="426"/>
      <c r="D5" s="422"/>
      <c r="E5" s="423"/>
      <c r="F5" s="423"/>
      <c r="G5" s="423"/>
      <c r="H5" s="423"/>
      <c r="I5" s="423"/>
      <c r="J5" s="427"/>
      <c r="K5" s="423"/>
    </row>
    <row r="6" spans="1:11" x14ac:dyDescent="0.25">
      <c r="A6" s="348"/>
      <c r="B6" s="349" t="s">
        <v>30</v>
      </c>
      <c r="C6" s="350"/>
      <c r="D6" s="351">
        <f>Don_gia_PA!G3</f>
        <v>1138860</v>
      </c>
      <c r="E6" s="352">
        <f>Don_gia_PA!G4</f>
        <v>102000</v>
      </c>
      <c r="F6" s="352">
        <f>Don_gia_PA!G9</f>
        <v>0</v>
      </c>
      <c r="G6" s="352"/>
      <c r="H6" s="353">
        <f>SUM(D6:G6)</f>
        <v>1240860</v>
      </c>
      <c r="I6" s="353">
        <f>H6*15%</f>
        <v>186129</v>
      </c>
      <c r="J6" s="404">
        <v>3</v>
      </c>
      <c r="K6" s="353">
        <f>(H6+I6)*J6</f>
        <v>4280967</v>
      </c>
    </row>
    <row r="7" spans="1:11" x14ac:dyDescent="0.25">
      <c r="A7" s="348"/>
      <c r="B7" s="349" t="s">
        <v>31</v>
      </c>
      <c r="C7" s="350"/>
      <c r="D7" s="351">
        <f>Don_gia_PA!G3</f>
        <v>1138860</v>
      </c>
      <c r="E7" s="352">
        <f>Don_gia_PA!G4</f>
        <v>102000</v>
      </c>
      <c r="F7" s="352">
        <f>Don_gia_PA!G10</f>
        <v>21350</v>
      </c>
      <c r="G7" s="352">
        <f>Don_gia_PA!G20</f>
        <v>160000</v>
      </c>
      <c r="H7" s="353">
        <f>SUM(D7:G7)</f>
        <v>1422210</v>
      </c>
      <c r="I7" s="353">
        <f t="shared" ref="I7:I18" si="0">H7*15%</f>
        <v>213331.5</v>
      </c>
      <c r="J7" s="404">
        <v>3</v>
      </c>
      <c r="K7" s="353">
        <f>(H7+I7)*J7</f>
        <v>4906624.5</v>
      </c>
    </row>
    <row r="8" spans="1:11" x14ac:dyDescent="0.25">
      <c r="A8" s="348"/>
      <c r="B8" s="349" t="s">
        <v>32</v>
      </c>
      <c r="C8" s="350"/>
      <c r="D8" s="351">
        <f>Don_gia_PA!G3</f>
        <v>1138860</v>
      </c>
      <c r="E8" s="352">
        <f>Don_gia_PA!G4</f>
        <v>102000</v>
      </c>
      <c r="F8" s="352">
        <f>Don_gia_PA!G11</f>
        <v>29890</v>
      </c>
      <c r="G8" s="352">
        <f>Don_gia_PA!G20</f>
        <v>160000</v>
      </c>
      <c r="H8" s="353">
        <f>SUM(D8:G8)</f>
        <v>1430750</v>
      </c>
      <c r="I8" s="353">
        <f t="shared" si="0"/>
        <v>214612.5</v>
      </c>
      <c r="J8" s="404">
        <v>3</v>
      </c>
      <c r="K8" s="353">
        <f>(H8+I8)*J8</f>
        <v>4936087.5</v>
      </c>
    </row>
    <row r="9" spans="1:11" x14ac:dyDescent="0.25">
      <c r="A9" s="348"/>
      <c r="B9" s="349" t="s">
        <v>172</v>
      </c>
      <c r="C9" s="350"/>
      <c r="D9" s="351">
        <f>Don_gia_PA!G3</f>
        <v>1138860</v>
      </c>
      <c r="E9" s="352">
        <f>Don_gia_PA!G4</f>
        <v>102000</v>
      </c>
      <c r="F9" s="352">
        <f>Don_gia_PA!G12</f>
        <v>40565</v>
      </c>
      <c r="G9" s="352">
        <f>Don_gia_PA!G20</f>
        <v>160000</v>
      </c>
      <c r="H9" s="353">
        <f t="shared" ref="H9:H18" si="1">SUM(D9:G9)</f>
        <v>1441425</v>
      </c>
      <c r="I9" s="353">
        <f t="shared" si="0"/>
        <v>216213.75</v>
      </c>
      <c r="J9" s="404">
        <v>3</v>
      </c>
      <c r="K9" s="353">
        <f t="shared" ref="K9:K17" si="2">(H9+I9)*J9</f>
        <v>4972916.25</v>
      </c>
    </row>
    <row r="10" spans="1:11" x14ac:dyDescent="0.25">
      <c r="A10" s="348"/>
      <c r="B10" s="349" t="s">
        <v>171</v>
      </c>
      <c r="C10" s="350"/>
      <c r="D10" s="351">
        <f>Don_gia_PA!G3</f>
        <v>1138860</v>
      </c>
      <c r="E10" s="352">
        <f>Don_gia_PA!G4</f>
        <v>102000</v>
      </c>
      <c r="F10" s="352">
        <f>Don_gia_PA!G13</f>
        <v>42700</v>
      </c>
      <c r="G10" s="352">
        <f>Don_gia_PA!G20</f>
        <v>160000</v>
      </c>
      <c r="H10" s="353">
        <f>SUM(D10:G10)</f>
        <v>1443560</v>
      </c>
      <c r="I10" s="353">
        <f t="shared" si="0"/>
        <v>216534</v>
      </c>
      <c r="J10" s="404">
        <v>3</v>
      </c>
      <c r="K10" s="353">
        <f t="shared" si="2"/>
        <v>4980282</v>
      </c>
    </row>
    <row r="11" spans="1:11" x14ac:dyDescent="0.25">
      <c r="A11" s="348"/>
      <c r="B11" s="349" t="s">
        <v>138</v>
      </c>
      <c r="C11" s="350"/>
      <c r="D11" s="351">
        <f>Don_gia_PA!G3</f>
        <v>1138860</v>
      </c>
      <c r="E11" s="352">
        <f>E9</f>
        <v>102000</v>
      </c>
      <c r="F11" s="352">
        <f>Don_gia_PA!G14</f>
        <v>51240</v>
      </c>
      <c r="G11" s="352">
        <f>Don_gia_PA!G20</f>
        <v>160000</v>
      </c>
      <c r="H11" s="353">
        <f t="shared" si="1"/>
        <v>1452100</v>
      </c>
      <c r="I11" s="353">
        <f t="shared" si="0"/>
        <v>217815</v>
      </c>
      <c r="J11" s="404">
        <v>3</v>
      </c>
      <c r="K11" s="353">
        <f t="shared" si="2"/>
        <v>5009745</v>
      </c>
    </row>
    <row r="12" spans="1:11" x14ac:dyDescent="0.25">
      <c r="A12" s="348"/>
      <c r="B12" s="349" t="s">
        <v>139</v>
      </c>
      <c r="C12" s="350"/>
      <c r="D12" s="351">
        <f>Don_gia_PA!G3</f>
        <v>1138860</v>
      </c>
      <c r="E12" s="352">
        <f>E6</f>
        <v>102000</v>
      </c>
      <c r="F12" s="352">
        <f>Don_gia_PA!G15</f>
        <v>64050</v>
      </c>
      <c r="G12" s="352">
        <f>Don_gia_PA!G19</f>
        <v>200000</v>
      </c>
      <c r="H12" s="353">
        <f t="shared" si="1"/>
        <v>1504910</v>
      </c>
      <c r="I12" s="353">
        <f t="shared" si="0"/>
        <v>225736.5</v>
      </c>
      <c r="J12" s="404">
        <v>3</v>
      </c>
      <c r="K12" s="353">
        <f t="shared" si="2"/>
        <v>5191939.5</v>
      </c>
    </row>
    <row r="13" spans="1:11" x14ac:dyDescent="0.25">
      <c r="A13" s="348"/>
      <c r="B13" s="349" t="s">
        <v>35</v>
      </c>
      <c r="C13" s="350"/>
      <c r="D13" s="351">
        <f>Don_gia_PA!G3</f>
        <v>1138860</v>
      </c>
      <c r="E13" s="352">
        <f>E6</f>
        <v>102000</v>
      </c>
      <c r="F13" s="352">
        <f>Don_gia_PA!G16</f>
        <v>70455</v>
      </c>
      <c r="G13" s="352">
        <f>Don_gia_PA!G19</f>
        <v>200000</v>
      </c>
      <c r="H13" s="353">
        <f t="shared" si="1"/>
        <v>1511315</v>
      </c>
      <c r="I13" s="353">
        <f t="shared" si="0"/>
        <v>226697.25</v>
      </c>
      <c r="J13" s="404">
        <v>3</v>
      </c>
      <c r="K13" s="353">
        <f t="shared" si="2"/>
        <v>5214036.75</v>
      </c>
    </row>
    <row r="14" spans="1:11" x14ac:dyDescent="0.25">
      <c r="A14" s="354"/>
      <c r="B14" s="355" t="s">
        <v>36</v>
      </c>
      <c r="C14" s="356"/>
      <c r="D14" s="357">
        <f>Don_gia_PA!G3</f>
        <v>1138860</v>
      </c>
      <c r="E14" s="358">
        <f>E6</f>
        <v>102000</v>
      </c>
      <c r="F14" s="358">
        <f>Don_gia_PA!G17</f>
        <v>83265</v>
      </c>
      <c r="G14" s="358">
        <f>Don_gia_PA!G19</f>
        <v>200000</v>
      </c>
      <c r="H14" s="359">
        <f t="shared" si="1"/>
        <v>1524125</v>
      </c>
      <c r="I14" s="359">
        <f t="shared" si="0"/>
        <v>228618.75</v>
      </c>
      <c r="J14" s="404">
        <v>3</v>
      </c>
      <c r="K14" s="359">
        <f t="shared" si="2"/>
        <v>5258231.25</v>
      </c>
    </row>
    <row r="15" spans="1:11" ht="33" x14ac:dyDescent="0.25">
      <c r="A15" s="360">
        <v>2</v>
      </c>
      <c r="B15" s="361" t="str">
        <f>Don_gia_PA!B21</f>
        <v>Thu thập, rà soát hồ sơ, cơ sở pháp lý để lập Phương án</v>
      </c>
      <c r="C15" s="98"/>
      <c r="D15" s="315">
        <f>Don_gia_PA!G22</f>
        <v>1708290</v>
      </c>
      <c r="E15" s="322">
        <f>Don_gia_PA!G23</f>
        <v>204500</v>
      </c>
      <c r="F15" s="136"/>
      <c r="G15" s="136"/>
      <c r="H15" s="362">
        <f t="shared" si="1"/>
        <v>1912790</v>
      </c>
      <c r="I15" s="362">
        <f t="shared" si="0"/>
        <v>286918.5</v>
      </c>
      <c r="J15" s="407">
        <v>3</v>
      </c>
      <c r="K15" s="362">
        <f t="shared" si="2"/>
        <v>6599125.5</v>
      </c>
    </row>
    <row r="16" spans="1:11" ht="33" x14ac:dyDescent="0.25">
      <c r="A16" s="360">
        <v>3</v>
      </c>
      <c r="B16" s="361" t="str">
        <f>Don_gia_PA!B28</f>
        <v>Dự thảo Phương án lấy ý kiến các sở, ngành liên quan</v>
      </c>
      <c r="C16" s="98"/>
      <c r="D16" s="315">
        <f>Don_gia_PA!G29</f>
        <v>5124870</v>
      </c>
      <c r="E16" s="322">
        <f>Don_gia_PA!G30</f>
        <v>549500</v>
      </c>
      <c r="F16" s="136"/>
      <c r="G16" s="136"/>
      <c r="H16" s="362">
        <f t="shared" si="1"/>
        <v>5674370</v>
      </c>
      <c r="I16" s="362">
        <f t="shared" si="0"/>
        <v>851155.5</v>
      </c>
      <c r="J16" s="407">
        <v>3</v>
      </c>
      <c r="K16" s="362">
        <f>(H16+I16)*J16</f>
        <v>19576576.5</v>
      </c>
    </row>
    <row r="17" spans="1:11" ht="25.5" customHeight="1" x14ac:dyDescent="0.25">
      <c r="A17" s="360">
        <v>4</v>
      </c>
      <c r="B17" s="390" t="str">
        <f>Don_gia_PA!B35</f>
        <v>Tổng hợp ý kiến, hoàn chỉnh phương án</v>
      </c>
      <c r="C17" s="98"/>
      <c r="D17" s="315">
        <f>Don_gia_PA!G36</f>
        <v>3501225</v>
      </c>
      <c r="E17" s="322">
        <f>Don_gia_PA!G37</f>
        <v>292500</v>
      </c>
      <c r="F17" s="136"/>
      <c r="G17" s="136"/>
      <c r="H17" s="362">
        <f t="shared" si="1"/>
        <v>3793725</v>
      </c>
      <c r="I17" s="362">
        <f t="shared" si="0"/>
        <v>569058.75</v>
      </c>
      <c r="J17" s="407">
        <v>3</v>
      </c>
      <c r="K17" s="362">
        <f t="shared" si="2"/>
        <v>13088351.25</v>
      </c>
    </row>
    <row r="18" spans="1:11" ht="33" x14ac:dyDescent="0.25">
      <c r="A18" s="360">
        <v>5</v>
      </c>
      <c r="B18" s="361" t="str">
        <f>Don_gia_PA!B40</f>
        <v>Trình cấp thẩm quyền phê duyệt phương án</v>
      </c>
      <c r="C18" s="98"/>
      <c r="D18" s="315">
        <f>Don_gia_PA!G41</f>
        <v>569430</v>
      </c>
      <c r="E18" s="322">
        <f>Don_gia_PA!G42</f>
        <v>192500</v>
      </c>
      <c r="F18" s="136"/>
      <c r="G18" s="136"/>
      <c r="H18" s="362">
        <f t="shared" si="1"/>
        <v>761930</v>
      </c>
      <c r="I18" s="362">
        <f t="shared" si="0"/>
        <v>114289.5</v>
      </c>
      <c r="J18" s="407"/>
      <c r="K18" s="362">
        <f>(H18+I18)</f>
        <v>876219.5</v>
      </c>
    </row>
    <row r="19" spans="1:11" ht="32.25" customHeight="1" x14ac:dyDescent="0.25">
      <c r="A19" s="101">
        <v>6</v>
      </c>
      <c r="B19" s="390" t="str">
        <f>Don_gia_thanh!B45</f>
        <v>Chuẩn bị hồ sơ đấu giá quyền sử dụng đất</v>
      </c>
      <c r="C19" s="101" t="s">
        <v>44</v>
      </c>
      <c r="D19" s="363">
        <f>Don_gia_thanh!G46</f>
        <v>3529440</v>
      </c>
      <c r="E19" s="362">
        <f>Don_gia_thanh!G47</f>
        <v>295000</v>
      </c>
      <c r="F19" s="364"/>
      <c r="G19" s="364"/>
      <c r="H19" s="362">
        <f>SUM(D19:G19)</f>
        <v>3824440</v>
      </c>
      <c r="I19" s="362">
        <f>H19*15%</f>
        <v>573666</v>
      </c>
      <c r="J19" s="407">
        <v>3</v>
      </c>
      <c r="K19" s="362">
        <f>(H19+I19)*J19</f>
        <v>13194318</v>
      </c>
    </row>
    <row r="20" spans="1:11" ht="34.5" customHeight="1" x14ac:dyDescent="0.25">
      <c r="A20" s="101">
        <v>7</v>
      </c>
      <c r="B20" s="361" t="str">
        <f>Don_gia_thanh!B51</f>
        <v>Trình cơ quan có thẩm quyền quyết định đấu giá quyền sử dụng đất.</v>
      </c>
      <c r="C20" s="101" t="s">
        <v>44</v>
      </c>
      <c r="D20" s="363">
        <f>Don_gia_thanh!G52</f>
        <v>597645</v>
      </c>
      <c r="E20" s="362">
        <f>Don_gia_thanh!G53</f>
        <v>75500</v>
      </c>
      <c r="F20" s="365"/>
      <c r="G20" s="365"/>
      <c r="H20" s="362">
        <f t="shared" ref="H20:H45" si="3">SUM(D20:G20)</f>
        <v>673145</v>
      </c>
      <c r="I20" s="362">
        <f t="shared" ref="I20:I45" si="4">H20*15%</f>
        <v>100971.75</v>
      </c>
      <c r="J20" s="407"/>
      <c r="K20" s="362">
        <f>(H20+I20)</f>
        <v>774116.75</v>
      </c>
    </row>
    <row r="21" spans="1:11" ht="56.25" customHeight="1" x14ac:dyDescent="0.25">
      <c r="A21" s="101">
        <v>8</v>
      </c>
      <c r="B21" s="238" t="str">
        <f>Don_gia_thanh!B56</f>
        <v>Tổ chức thực hiện xác định giá khởi điểm trình cấp có thẩm quyền phê duyệt giá khởi điểm của thửa đất đấu giá</v>
      </c>
      <c r="C21" s="101" t="s">
        <v>44</v>
      </c>
      <c r="D21" s="363">
        <f>Don_gia_thanh!G57</f>
        <v>1138860</v>
      </c>
      <c r="E21" s="362">
        <f>Don_gia_thanh!G58</f>
        <v>290000</v>
      </c>
      <c r="F21" s="366"/>
      <c r="G21" s="365"/>
      <c r="H21" s="362">
        <f t="shared" si="3"/>
        <v>1428860</v>
      </c>
      <c r="I21" s="362">
        <f t="shared" si="4"/>
        <v>214329</v>
      </c>
      <c r="J21" s="407"/>
      <c r="K21" s="362">
        <f>H21+I21</f>
        <v>1643189</v>
      </c>
    </row>
    <row r="22" spans="1:11" ht="49.5" x14ac:dyDescent="0.25">
      <c r="A22" s="101">
        <v>9</v>
      </c>
      <c r="B22" s="238" t="str">
        <f>Don_gia_thanh!B62</f>
        <v>Trình cơ quan có thẩm quyền quyết định bước giá để tổ chức đấu giá quyền sử dụng đất theo quy định.</v>
      </c>
      <c r="C22" s="101"/>
      <c r="D22" s="363">
        <f>Don_gia_thanh!G63</f>
        <v>6833160</v>
      </c>
      <c r="E22" s="362">
        <f>Don_gia_thanh!G64</f>
        <v>290000</v>
      </c>
      <c r="F22" s="366"/>
      <c r="G22" s="365"/>
      <c r="H22" s="362">
        <f t="shared" si="3"/>
        <v>7123160</v>
      </c>
      <c r="I22" s="362">
        <f t="shared" si="4"/>
        <v>1068474</v>
      </c>
      <c r="J22" s="407"/>
      <c r="K22" s="362">
        <f>H22+I22</f>
        <v>8191634</v>
      </c>
    </row>
    <row r="23" spans="1:11" ht="49.5" x14ac:dyDescent="0.25">
      <c r="A23" s="101">
        <v>10</v>
      </c>
      <c r="B23" s="238" t="str">
        <f>Don_gia_thanh!B69</f>
        <v>Lựa chọn tổ chức đấu giá tài sản theo Thông tư số 02/2022/TT-BTP ngày 08/02/2022 của Bộ trưởng Bộ Tư pháp.</v>
      </c>
      <c r="C23" s="101"/>
      <c r="D23" s="367"/>
      <c r="E23" s="366"/>
      <c r="F23" s="366"/>
      <c r="G23" s="366"/>
      <c r="H23" s="362"/>
      <c r="I23" s="362"/>
      <c r="J23" s="407"/>
      <c r="K23" s="362"/>
    </row>
    <row r="24" spans="1:11" ht="49.5" x14ac:dyDescent="0.25">
      <c r="A24" s="368" t="s">
        <v>173</v>
      </c>
      <c r="B24" s="239" t="str">
        <f>Don_gia_thanh!B70</f>
        <v xml:space="preserve">Lập hồ sơ, ban hành khung tiêu chí và thông báo công khai tiêu chí lựa chọn tổ chức đấu giá tài sản </v>
      </c>
      <c r="C24" s="368"/>
      <c r="D24" s="369">
        <f>Don_gia_thanh!G71</f>
        <v>3416580</v>
      </c>
      <c r="E24" s="370">
        <f>Don_gia_thanh!G72</f>
        <v>502500</v>
      </c>
      <c r="F24" s="371"/>
      <c r="G24" s="371"/>
      <c r="H24" s="370">
        <f t="shared" si="3"/>
        <v>3919080</v>
      </c>
      <c r="I24" s="370">
        <f t="shared" si="4"/>
        <v>587862</v>
      </c>
      <c r="J24" s="408">
        <v>3</v>
      </c>
      <c r="K24" s="370">
        <f>(H24+I24)*J24</f>
        <v>13520826</v>
      </c>
    </row>
    <row r="25" spans="1:11" ht="33" x14ac:dyDescent="0.25">
      <c r="A25" s="368" t="s">
        <v>175</v>
      </c>
      <c r="B25" s="239" t="str">
        <f>Don_gia_thanh!B76</f>
        <v>Đánh giá, chấm điểm theo tiêu chí lựa chọn tổ chức đấu giá tài sản</v>
      </c>
      <c r="C25" s="368"/>
      <c r="D25" s="369">
        <f>Don_gia_thanh!G77</f>
        <v>4270725</v>
      </c>
      <c r="E25" s="370">
        <f>Don_gia_thanh!G78</f>
        <v>212500</v>
      </c>
      <c r="F25" s="371"/>
      <c r="G25" s="371"/>
      <c r="H25" s="370">
        <f t="shared" si="3"/>
        <v>4483225</v>
      </c>
      <c r="I25" s="370">
        <f t="shared" si="4"/>
        <v>672483.75</v>
      </c>
      <c r="J25" s="408">
        <v>3</v>
      </c>
      <c r="K25" s="370">
        <f>(H25+I25)*J25</f>
        <v>15467126.25</v>
      </c>
    </row>
    <row r="26" spans="1:11" ht="33" x14ac:dyDescent="0.25">
      <c r="A26" s="368" t="s">
        <v>176</v>
      </c>
      <c r="B26" s="239" t="str">
        <f>Don_gia_thanh!B82</f>
        <v>Thông báo kết quả lựa chọn tổ chức đấu giá tài sản</v>
      </c>
      <c r="C26" s="368"/>
      <c r="D26" s="369">
        <f>Don_gia_thanh!G83</f>
        <v>597645</v>
      </c>
      <c r="E26" s="370">
        <f>Don_gia_thanh!G84</f>
        <v>100000</v>
      </c>
      <c r="F26" s="371"/>
      <c r="G26" s="371"/>
      <c r="H26" s="370">
        <f t="shared" si="3"/>
        <v>697645</v>
      </c>
      <c r="I26" s="370">
        <f t="shared" si="4"/>
        <v>104646.75</v>
      </c>
      <c r="J26" s="408">
        <v>3</v>
      </c>
      <c r="K26" s="370">
        <f>(H26+I26)*J26</f>
        <v>2406875.25</v>
      </c>
    </row>
    <row r="27" spans="1:11" ht="38.25" customHeight="1" x14ac:dyDescent="0.25">
      <c r="A27" s="368" t="s">
        <v>177</v>
      </c>
      <c r="B27" s="239" t="str">
        <f>Don_gia_thanh!B87</f>
        <v>Ký hợp đồng với đơn vị thực hiện cuộc bán đấu giá theo quy định</v>
      </c>
      <c r="C27" s="368"/>
      <c r="D27" s="369">
        <f>Don_gia_thanh!G88</f>
        <v>1764720</v>
      </c>
      <c r="E27" s="370">
        <f>Don_gia_thanh!G89</f>
        <v>295000</v>
      </c>
      <c r="F27" s="371"/>
      <c r="G27" s="371"/>
      <c r="H27" s="370">
        <f t="shared" si="3"/>
        <v>2059720</v>
      </c>
      <c r="I27" s="370">
        <f t="shared" si="4"/>
        <v>308958</v>
      </c>
      <c r="J27" s="408">
        <v>3</v>
      </c>
      <c r="K27" s="370">
        <f>(H27+I27)*J27</f>
        <v>7106034</v>
      </c>
    </row>
    <row r="28" spans="1:11" ht="148.5" x14ac:dyDescent="0.25">
      <c r="A28" s="101">
        <v>11</v>
      </c>
      <c r="B28" s="238" t="str">
        <f>Don_gia_thanh!B93</f>
        <v>Phối hợp đơn vị tổ chức đấu giá tài sản thông báo về việc bán đấu giá tài sản; Ban hành Quy chế cuộc bán đấu giá; Thực hiện việc niêm yết đấu giá tài sản và đăng tải thông tin về việc đấu giá tài sản theo quy định; Xét hồ sơ đăng ký tham gia đấu giá; Tổ chức đấu giá quyền sử dụng đất theo quy định; Báo cáo về kết quả thực hiện đấu giá.</v>
      </c>
      <c r="C28" s="101"/>
      <c r="D28" s="367"/>
      <c r="E28" s="366"/>
      <c r="F28" s="366"/>
      <c r="G28" s="366"/>
      <c r="H28" s="362"/>
      <c r="I28" s="362"/>
      <c r="J28" s="407"/>
      <c r="K28" s="362"/>
    </row>
    <row r="29" spans="1:11" ht="99" x14ac:dyDescent="0.25">
      <c r="A29" s="368" t="s">
        <v>178</v>
      </c>
      <c r="B29" s="239" t="str">
        <f>Don_gia_thanh!B94</f>
        <v>Phối hợp đơn vị tổ chức đấu giá tài sản thông báo về việc bán đấu giá tài sản;Ban hành Quy chế cuộc bán đấu giá; Thực hiện việc niêm yết đấu giá tài sản và đăng tải thông tin về việc đấu giá tài sản theo quy định</v>
      </c>
      <c r="C29" s="368"/>
      <c r="D29" s="369">
        <f>Don_gia_thanh!G94</f>
        <v>3416580</v>
      </c>
      <c r="E29" s="371"/>
      <c r="F29" s="371"/>
      <c r="G29" s="371"/>
      <c r="H29" s="370">
        <f t="shared" si="3"/>
        <v>3416580</v>
      </c>
      <c r="I29" s="370">
        <f t="shared" si="4"/>
        <v>512487</v>
      </c>
      <c r="J29" s="408">
        <v>3</v>
      </c>
      <c r="K29" s="362">
        <f t="shared" ref="K29:K40" si="5">(H29+I29)*J29</f>
        <v>11787201</v>
      </c>
    </row>
    <row r="30" spans="1:11" x14ac:dyDescent="0.25">
      <c r="A30" s="368" t="s">
        <v>174</v>
      </c>
      <c r="B30" s="239" t="str">
        <f>Don_gia_thanh!B95</f>
        <v xml:space="preserve"> Xét hồ sơ đăng ký tham gia đấu giá</v>
      </c>
      <c r="C30" s="368"/>
      <c r="D30" s="372">
        <f>Don_gia_thanh!G96</f>
        <v>4555440</v>
      </c>
      <c r="E30" s="371">
        <f>Don_gia_thanh!G97</f>
        <v>202500</v>
      </c>
      <c r="F30" s="371"/>
      <c r="G30" s="371"/>
      <c r="H30" s="370">
        <f t="shared" si="3"/>
        <v>4757940</v>
      </c>
      <c r="I30" s="370">
        <f t="shared" si="4"/>
        <v>713691</v>
      </c>
      <c r="J30" s="408">
        <v>3</v>
      </c>
      <c r="K30" s="362">
        <f t="shared" si="5"/>
        <v>16414893</v>
      </c>
    </row>
    <row r="31" spans="1:11" ht="33" x14ac:dyDescent="0.25">
      <c r="A31" s="428" t="s">
        <v>179</v>
      </c>
      <c r="B31" s="429" t="str">
        <f>Don_gia_thanh!B101</f>
        <v>Tổ chức đấu giá quyền sử dụng đất theo quy định</v>
      </c>
      <c r="C31" s="428"/>
      <c r="D31" s="430"/>
      <c r="E31" s="431"/>
      <c r="F31" s="431"/>
      <c r="G31" s="431"/>
      <c r="H31" s="432"/>
      <c r="I31" s="432"/>
      <c r="J31" s="433"/>
      <c r="K31" s="434"/>
    </row>
    <row r="32" spans="1:11" x14ac:dyDescent="0.25">
      <c r="A32" s="378"/>
      <c r="B32" s="379" t="s">
        <v>30</v>
      </c>
      <c r="C32" s="378"/>
      <c r="D32" s="380">
        <f>Don_gia_thanh!G102</f>
        <v>882360</v>
      </c>
      <c r="E32" s="381"/>
      <c r="F32" s="381">
        <f>Don_gia_thanh!G104</f>
        <v>0</v>
      </c>
      <c r="G32" s="381"/>
      <c r="H32" s="337">
        <f t="shared" si="3"/>
        <v>882360</v>
      </c>
      <c r="I32" s="337">
        <f t="shared" si="4"/>
        <v>132354</v>
      </c>
      <c r="J32" s="417">
        <v>3</v>
      </c>
      <c r="K32" s="353">
        <f t="shared" si="5"/>
        <v>3044142</v>
      </c>
    </row>
    <row r="33" spans="1:14" x14ac:dyDescent="0.25">
      <c r="A33" s="378"/>
      <c r="B33" s="379" t="s">
        <v>31</v>
      </c>
      <c r="C33" s="378"/>
      <c r="D33" s="380">
        <f>Don_gia_thanh!G102</f>
        <v>882360</v>
      </c>
      <c r="E33" s="381"/>
      <c r="F33" s="381">
        <f>Don_gia_thanh!G105</f>
        <v>21350</v>
      </c>
      <c r="G33" s="381">
        <f>Don_gia_thanh!G115</f>
        <v>80000</v>
      </c>
      <c r="H33" s="337">
        <f t="shared" si="3"/>
        <v>983710</v>
      </c>
      <c r="I33" s="337">
        <f t="shared" si="4"/>
        <v>147556.5</v>
      </c>
      <c r="J33" s="417">
        <v>3</v>
      </c>
      <c r="K33" s="353">
        <f t="shared" si="5"/>
        <v>3393799.5</v>
      </c>
    </row>
    <row r="34" spans="1:14" x14ac:dyDescent="0.25">
      <c r="A34" s="378"/>
      <c r="B34" s="379" t="s">
        <v>32</v>
      </c>
      <c r="C34" s="378"/>
      <c r="D34" s="380">
        <f>Don_gia_thanh!G102</f>
        <v>882360</v>
      </c>
      <c r="E34" s="381"/>
      <c r="F34" s="381">
        <f>Don_gia_thanh!G106</f>
        <v>29890</v>
      </c>
      <c r="G34" s="381">
        <f>Don_gia_thanh!G115</f>
        <v>80000</v>
      </c>
      <c r="H34" s="337">
        <f t="shared" si="3"/>
        <v>992250</v>
      </c>
      <c r="I34" s="337">
        <f t="shared" si="4"/>
        <v>148837.5</v>
      </c>
      <c r="J34" s="417">
        <v>3</v>
      </c>
      <c r="K34" s="353">
        <f t="shared" si="5"/>
        <v>3423262.5</v>
      </c>
    </row>
    <row r="35" spans="1:14" x14ac:dyDescent="0.25">
      <c r="A35" s="378"/>
      <c r="B35" s="379" t="s">
        <v>172</v>
      </c>
      <c r="C35" s="378"/>
      <c r="D35" s="380">
        <f>Don_gia_thanh!G102</f>
        <v>882360</v>
      </c>
      <c r="E35" s="381"/>
      <c r="F35" s="381">
        <f>Don_gia_thanh!G107</f>
        <v>40565</v>
      </c>
      <c r="G35" s="381">
        <f>Don_gia_thanh!G115</f>
        <v>80000</v>
      </c>
      <c r="H35" s="337">
        <f t="shared" si="3"/>
        <v>1002925</v>
      </c>
      <c r="I35" s="337">
        <f t="shared" si="4"/>
        <v>150438.75</v>
      </c>
      <c r="J35" s="417">
        <v>3</v>
      </c>
      <c r="K35" s="353">
        <f t="shared" si="5"/>
        <v>3460091.25</v>
      </c>
    </row>
    <row r="36" spans="1:14" x14ac:dyDescent="0.25">
      <c r="A36" s="378"/>
      <c r="B36" s="379" t="s">
        <v>171</v>
      </c>
      <c r="C36" s="378"/>
      <c r="D36" s="380">
        <f>Don_gia_thanh!G102</f>
        <v>882360</v>
      </c>
      <c r="E36" s="381"/>
      <c r="F36" s="381">
        <f>Don_gia_thanh!G108</f>
        <v>42700</v>
      </c>
      <c r="G36" s="381">
        <f>Don_gia_thanh!G115</f>
        <v>80000</v>
      </c>
      <c r="H36" s="337">
        <f t="shared" si="3"/>
        <v>1005060</v>
      </c>
      <c r="I36" s="337">
        <f t="shared" si="4"/>
        <v>150759</v>
      </c>
      <c r="J36" s="417">
        <v>3</v>
      </c>
      <c r="K36" s="353">
        <f t="shared" si="5"/>
        <v>3467457</v>
      </c>
    </row>
    <row r="37" spans="1:14" x14ac:dyDescent="0.25">
      <c r="A37" s="378"/>
      <c r="B37" s="379" t="s">
        <v>138</v>
      </c>
      <c r="C37" s="378"/>
      <c r="D37" s="380">
        <f>Don_gia_thanh!G102</f>
        <v>882360</v>
      </c>
      <c r="E37" s="381"/>
      <c r="F37" s="381">
        <f>Don_gia_thanh!G109</f>
        <v>51240</v>
      </c>
      <c r="G37" s="381">
        <f>Don_gia_thanh!G115</f>
        <v>80000</v>
      </c>
      <c r="H37" s="337">
        <f t="shared" si="3"/>
        <v>1013600</v>
      </c>
      <c r="I37" s="337">
        <f>H37*15%</f>
        <v>152040</v>
      </c>
      <c r="J37" s="417">
        <v>3</v>
      </c>
      <c r="K37" s="353">
        <f t="shared" si="5"/>
        <v>3496920</v>
      </c>
    </row>
    <row r="38" spans="1:14" x14ac:dyDescent="0.25">
      <c r="A38" s="378"/>
      <c r="B38" s="379" t="s">
        <v>139</v>
      </c>
      <c r="C38" s="378"/>
      <c r="D38" s="380">
        <f>Don_gia_thanh!G102</f>
        <v>882360</v>
      </c>
      <c r="E38" s="381"/>
      <c r="F38" s="381">
        <f>Don_gia_thanh!G110</f>
        <v>64050</v>
      </c>
      <c r="G38" s="381">
        <f>Don_gia_thanh!G114</f>
        <v>100000</v>
      </c>
      <c r="H38" s="337">
        <f t="shared" si="3"/>
        <v>1046410</v>
      </c>
      <c r="I38" s="337">
        <f t="shared" si="4"/>
        <v>156961.5</v>
      </c>
      <c r="J38" s="417">
        <v>3</v>
      </c>
      <c r="K38" s="353">
        <f t="shared" si="5"/>
        <v>3610114.5</v>
      </c>
    </row>
    <row r="39" spans="1:14" x14ac:dyDescent="0.25">
      <c r="A39" s="378"/>
      <c r="B39" s="379" t="s">
        <v>35</v>
      </c>
      <c r="C39" s="378"/>
      <c r="D39" s="380">
        <f>Don_gia_thanh!G102</f>
        <v>882360</v>
      </c>
      <c r="E39" s="381"/>
      <c r="F39" s="381">
        <f>Don_gia_thanh!G111</f>
        <v>70455</v>
      </c>
      <c r="G39" s="381">
        <f>Don_gia_thanh!G114</f>
        <v>100000</v>
      </c>
      <c r="H39" s="337">
        <f t="shared" si="3"/>
        <v>1052815</v>
      </c>
      <c r="I39" s="337">
        <f t="shared" si="4"/>
        <v>157922.25</v>
      </c>
      <c r="J39" s="417">
        <v>3</v>
      </c>
      <c r="K39" s="353">
        <f t="shared" si="5"/>
        <v>3632211.75</v>
      </c>
    </row>
    <row r="40" spans="1:14" x14ac:dyDescent="0.25">
      <c r="A40" s="382"/>
      <c r="B40" s="383" t="s">
        <v>36</v>
      </c>
      <c r="C40" s="382"/>
      <c r="D40" s="384">
        <f>Don_gia_thanh!G102</f>
        <v>882360</v>
      </c>
      <c r="E40" s="385"/>
      <c r="F40" s="385">
        <f>Don_gia_thanh!G112</f>
        <v>83265</v>
      </c>
      <c r="G40" s="385">
        <f>Don_gia_thanh!G114</f>
        <v>100000</v>
      </c>
      <c r="H40" s="418">
        <f t="shared" si="3"/>
        <v>1065625</v>
      </c>
      <c r="I40" s="418">
        <f t="shared" si="4"/>
        <v>159843.75</v>
      </c>
      <c r="J40" s="417">
        <v>3</v>
      </c>
      <c r="K40" s="359">
        <f t="shared" si="5"/>
        <v>3676406.25</v>
      </c>
    </row>
    <row r="41" spans="1:14" ht="19.5" customHeight="1" x14ac:dyDescent="0.25">
      <c r="A41" s="101">
        <v>12</v>
      </c>
      <c r="B41" s="339" t="str">
        <f>Don_gia_thanh!B116</f>
        <v>Báo cáo về kết quả thực hiện đấu giá</v>
      </c>
      <c r="C41" s="101"/>
      <c r="D41" s="363">
        <f>Don_gia_thanh!G117</f>
        <v>1792935</v>
      </c>
      <c r="E41" s="362">
        <f>Don_gia_thanh!G118</f>
        <v>192500</v>
      </c>
      <c r="F41" s="366"/>
      <c r="G41" s="366"/>
      <c r="H41" s="362">
        <f t="shared" si="3"/>
        <v>1985435</v>
      </c>
      <c r="I41" s="362">
        <f t="shared" si="4"/>
        <v>297815.25</v>
      </c>
      <c r="J41" s="407"/>
      <c r="K41" s="362">
        <f>H41+I41</f>
        <v>2283250.25</v>
      </c>
    </row>
    <row r="42" spans="1:14" ht="48.75" customHeight="1" x14ac:dyDescent="0.25">
      <c r="A42" s="101">
        <v>13</v>
      </c>
      <c r="B42" s="238" t="str">
        <f>Don_gia_thanh!B121</f>
        <v>Tổ chức ký hợp đồng mua bán tài sản đấu giá theo quy định tại Điều 46 Luật Đấu giá tài sản ngày 17/11/2016</v>
      </c>
      <c r="C42" s="101"/>
      <c r="D42" s="363">
        <f>Don_gia_thanh!G122</f>
        <v>1708290</v>
      </c>
      <c r="E42" s="363">
        <f>Don_gia_thanh!G123</f>
        <v>200000</v>
      </c>
      <c r="F42" s="366"/>
      <c r="G42" s="366"/>
      <c r="H42" s="362">
        <f t="shared" si="3"/>
        <v>1908290</v>
      </c>
      <c r="I42" s="362">
        <f t="shared" si="4"/>
        <v>286243.5</v>
      </c>
      <c r="J42" s="407"/>
      <c r="K42" s="362">
        <f>H42+I42</f>
        <v>2194533.5</v>
      </c>
    </row>
    <row r="43" spans="1:14" ht="48" customHeight="1" x14ac:dyDescent="0.25">
      <c r="A43" s="101">
        <v>14</v>
      </c>
      <c r="B43" s="238" t="str">
        <f>Don_gia_thanh!B126</f>
        <v>Trình cơ quan có thẩm quyền phê duyệt kết quả đấu giá đấu giá quyền sử dụng đất</v>
      </c>
      <c r="C43" s="101"/>
      <c r="D43" s="363">
        <f>Don_gia_thanh!G127</f>
        <v>1792935</v>
      </c>
      <c r="E43" s="363">
        <f>Don_gia_thanh!G128</f>
        <v>192500</v>
      </c>
      <c r="F43" s="366"/>
      <c r="G43" s="366"/>
      <c r="H43" s="362">
        <f t="shared" si="3"/>
        <v>1985435</v>
      </c>
      <c r="I43" s="362">
        <f t="shared" si="4"/>
        <v>297815.25</v>
      </c>
      <c r="J43" s="407"/>
      <c r="K43" s="362">
        <f>H43+I43</f>
        <v>2283250.25</v>
      </c>
    </row>
    <row r="44" spans="1:14" ht="23.25" customHeight="1" x14ac:dyDescent="0.25">
      <c r="A44" s="101">
        <v>15</v>
      </c>
      <c r="B44" s="238" t="str">
        <f>Don_gia_thanh!B131</f>
        <v>Nộp tiền sử dụng đất, tiền thuê đất</v>
      </c>
      <c r="C44" s="101"/>
      <c r="D44" s="363">
        <f>Don_gia_thanh!G132</f>
        <v>882360</v>
      </c>
      <c r="E44" s="363">
        <f>Don_gia_thanh!G133</f>
        <v>83000</v>
      </c>
      <c r="F44" s="366"/>
      <c r="G44" s="366"/>
      <c r="H44" s="362">
        <f t="shared" si="3"/>
        <v>965360</v>
      </c>
      <c r="I44" s="362">
        <f t="shared" si="4"/>
        <v>144804</v>
      </c>
      <c r="J44" s="407"/>
      <c r="K44" s="362">
        <f>H44+I44</f>
        <v>1110164</v>
      </c>
      <c r="L44" s="340" t="s">
        <v>181</v>
      </c>
      <c r="M44" s="340" t="s">
        <v>182</v>
      </c>
    </row>
    <row r="45" spans="1:14" ht="49.5" x14ac:dyDescent="0.25">
      <c r="A45" s="101">
        <v>16</v>
      </c>
      <c r="B45" s="238" t="str">
        <f>Don_gia_thanh!B136</f>
        <v>Cấp giấy chứng nhận quyền sử dụng đất, giao đất trên thực địa cho người trúng đấu giá</v>
      </c>
      <c r="C45" s="101"/>
      <c r="D45" s="363">
        <f>Don_gia_thanh!G136</f>
        <v>284715</v>
      </c>
      <c r="E45" s="363"/>
      <c r="F45" s="366"/>
      <c r="G45" s="366"/>
      <c r="H45" s="362">
        <f t="shared" si="3"/>
        <v>284715</v>
      </c>
      <c r="I45" s="362">
        <f t="shared" si="4"/>
        <v>42707.25</v>
      </c>
      <c r="J45" s="407"/>
      <c r="K45" s="362">
        <f>H45+I45</f>
        <v>327422.25</v>
      </c>
      <c r="L45" s="391">
        <f>K6+K15+K16+K17+K18+K19+K20+K21+K22+K24+K25+K26+K27+K29+K30+K32+K41+K42+K43+K44+K45</f>
        <v>146170215.25</v>
      </c>
      <c r="M45" s="391">
        <f>K7+K15+K16+K17+K18+K19+K20+K21+K22+K24+K25+K26+K27+K29+K30+K33+K41+K42+K43+K44+K45</f>
        <v>147145530.25</v>
      </c>
      <c r="N45" s="391"/>
    </row>
    <row r="47" spans="1:14" x14ac:dyDescent="0.25">
      <c r="L47" s="386"/>
      <c r="M47" s="386"/>
    </row>
  </sheetData>
  <mergeCells count="2">
    <mergeCell ref="A1:K1"/>
    <mergeCell ref="A2:K2"/>
  </mergeCells>
  <pageMargins left="0.61" right="0.4" top="0.27" bottom="0.39" header="0.17" footer="0.18"/>
  <pageSetup paperSize="9" orientation="landscape" r:id="rId1"/>
  <headerFoot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selection activeCell="A3" sqref="A3"/>
    </sheetView>
  </sheetViews>
  <sheetFormatPr defaultColWidth="9" defaultRowHeight="16.5" x14ac:dyDescent="0.25"/>
  <cols>
    <col min="1" max="1" width="5.75" style="340" bestFit="1" customWidth="1"/>
    <col min="2" max="2" width="35.875" style="340" customWidth="1"/>
    <col min="3" max="3" width="2.75" style="387" hidden="1" customWidth="1"/>
    <col min="4" max="4" width="10.75" style="388" bestFit="1" customWidth="1"/>
    <col min="5" max="5" width="9" style="340"/>
    <col min="6" max="6" width="11.125" style="340" customWidth="1"/>
    <col min="7" max="7" width="11.75" style="340" customWidth="1"/>
    <col min="8" max="8" width="11.125" style="340" bestFit="1" customWidth="1"/>
    <col min="9" max="9" width="12.875" style="340" customWidth="1"/>
    <col min="10" max="10" width="5.75" style="421" bestFit="1" customWidth="1"/>
    <col min="11" max="11" width="12.375" style="386" customWidth="1"/>
    <col min="12" max="13" width="12.25" style="340" bestFit="1" customWidth="1"/>
    <col min="14" max="14" width="10" style="340" bestFit="1" customWidth="1"/>
    <col min="15" max="16384" width="9" style="340"/>
  </cols>
  <sheetData>
    <row r="1" spans="1:11" x14ac:dyDescent="0.25">
      <c r="A1" s="739" t="s">
        <v>117</v>
      </c>
      <c r="B1" s="739"/>
      <c r="C1" s="739"/>
      <c r="D1" s="739"/>
      <c r="E1" s="739"/>
      <c r="F1" s="739"/>
      <c r="G1" s="739"/>
      <c r="H1" s="739"/>
      <c r="I1" s="739"/>
      <c r="J1" s="739"/>
      <c r="K1" s="739"/>
    </row>
    <row r="2" spans="1:11" ht="41.25" customHeight="1" x14ac:dyDescent="0.25">
      <c r="A2" s="776" t="s">
        <v>185</v>
      </c>
      <c r="B2" s="777"/>
      <c r="C2" s="777"/>
      <c r="D2" s="777"/>
      <c r="E2" s="777"/>
      <c r="F2" s="777"/>
      <c r="G2" s="777"/>
      <c r="H2" s="777"/>
      <c r="I2" s="777"/>
      <c r="J2" s="777"/>
      <c r="K2" s="777"/>
    </row>
    <row r="3" spans="1:11" x14ac:dyDescent="0.25">
      <c r="A3" s="341"/>
      <c r="B3" s="341"/>
      <c r="C3" s="341"/>
      <c r="D3" s="342"/>
      <c r="E3" s="341"/>
      <c r="F3" s="341"/>
      <c r="G3" s="341"/>
      <c r="H3" s="341"/>
      <c r="I3" s="341"/>
      <c r="J3" s="394"/>
      <c r="K3" s="343" t="s">
        <v>118</v>
      </c>
    </row>
    <row r="4" spans="1:11" ht="51.75" customHeight="1" x14ac:dyDescent="0.25">
      <c r="A4" s="344" t="s">
        <v>0</v>
      </c>
      <c r="B4" s="344" t="s">
        <v>1</v>
      </c>
      <c r="C4" s="98" t="s">
        <v>4</v>
      </c>
      <c r="D4" s="389" t="s">
        <v>119</v>
      </c>
      <c r="E4" s="136" t="s">
        <v>120</v>
      </c>
      <c r="F4" s="136" t="s">
        <v>121</v>
      </c>
      <c r="G4" s="137" t="s">
        <v>122</v>
      </c>
      <c r="H4" s="136" t="s">
        <v>123</v>
      </c>
      <c r="I4" s="136" t="s">
        <v>124</v>
      </c>
      <c r="J4" s="395" t="s">
        <v>86</v>
      </c>
      <c r="K4" s="136" t="s">
        <v>78</v>
      </c>
    </row>
    <row r="5" spans="1:11" ht="49.5" customHeight="1" x14ac:dyDescent="0.25">
      <c r="A5" s="424">
        <v>1</v>
      </c>
      <c r="B5" s="425" t="str">
        <f>Don_gia_PA!B2</f>
        <v>Kiểm tra lại ranh giới, hiện trạng sử dụng khu đất và phối hợp với địa phương xử lý một số vướng mắc phát sinh (nếu có)</v>
      </c>
      <c r="C5" s="426"/>
      <c r="D5" s="422"/>
      <c r="E5" s="423"/>
      <c r="F5" s="423"/>
      <c r="G5" s="423"/>
      <c r="H5" s="423"/>
      <c r="I5" s="423"/>
      <c r="J5" s="427"/>
      <c r="K5" s="423"/>
    </row>
    <row r="6" spans="1:11" x14ac:dyDescent="0.25">
      <c r="A6" s="348"/>
      <c r="B6" s="349" t="s">
        <v>30</v>
      </c>
      <c r="C6" s="350"/>
      <c r="D6" s="351">
        <f>Don_gia_PA!G3</f>
        <v>1138860</v>
      </c>
      <c r="E6" s="352">
        <f>Don_gia_PA!G4</f>
        <v>102000</v>
      </c>
      <c r="F6" s="352">
        <f>Don_gia_PA!G9</f>
        <v>0</v>
      </c>
      <c r="G6" s="352"/>
      <c r="H6" s="353">
        <f>SUM(D6:G6)</f>
        <v>1240860</v>
      </c>
      <c r="I6" s="353">
        <f>H6*15%</f>
        <v>186129</v>
      </c>
      <c r="J6" s="404">
        <v>4</v>
      </c>
      <c r="K6" s="353">
        <f>(H6+I6)*J6</f>
        <v>5707956</v>
      </c>
    </row>
    <row r="7" spans="1:11" x14ac:dyDescent="0.25">
      <c r="A7" s="348"/>
      <c r="B7" s="349" t="s">
        <v>31</v>
      </c>
      <c r="C7" s="350"/>
      <c r="D7" s="351">
        <f>Don_gia_PA!G3</f>
        <v>1138860</v>
      </c>
      <c r="E7" s="352">
        <f>Don_gia_PA!G4</f>
        <v>102000</v>
      </c>
      <c r="F7" s="352">
        <f>Don_gia_PA!G10</f>
        <v>21350</v>
      </c>
      <c r="G7" s="352">
        <f>Don_gia_PA!G20</f>
        <v>160000</v>
      </c>
      <c r="H7" s="353">
        <f>SUM(D7:G7)</f>
        <v>1422210</v>
      </c>
      <c r="I7" s="353">
        <f t="shared" ref="I7:I18" si="0">H7*15%</f>
        <v>213331.5</v>
      </c>
      <c r="J7" s="404">
        <v>4</v>
      </c>
      <c r="K7" s="353">
        <f>(H7+I7)*J7</f>
        <v>6542166</v>
      </c>
    </row>
    <row r="8" spans="1:11" x14ac:dyDescent="0.25">
      <c r="A8" s="348"/>
      <c r="B8" s="349" t="s">
        <v>32</v>
      </c>
      <c r="C8" s="350"/>
      <c r="D8" s="351">
        <f>Don_gia_PA!G3</f>
        <v>1138860</v>
      </c>
      <c r="E8" s="352">
        <f>Don_gia_PA!G4</f>
        <v>102000</v>
      </c>
      <c r="F8" s="352">
        <f>Don_gia_PA!G11</f>
        <v>29890</v>
      </c>
      <c r="G8" s="352">
        <f>Don_gia_PA!G20</f>
        <v>160000</v>
      </c>
      <c r="H8" s="353">
        <f>SUM(D8:G8)</f>
        <v>1430750</v>
      </c>
      <c r="I8" s="353">
        <f t="shared" si="0"/>
        <v>214612.5</v>
      </c>
      <c r="J8" s="404">
        <v>4</v>
      </c>
      <c r="K8" s="353">
        <f>(H8+I8)*J8</f>
        <v>6581450</v>
      </c>
    </row>
    <row r="9" spans="1:11" x14ac:dyDescent="0.25">
      <c r="A9" s="348"/>
      <c r="B9" s="349" t="s">
        <v>172</v>
      </c>
      <c r="C9" s="350"/>
      <c r="D9" s="351">
        <f>Don_gia_PA!G3</f>
        <v>1138860</v>
      </c>
      <c r="E9" s="352">
        <f>Don_gia_PA!G4</f>
        <v>102000</v>
      </c>
      <c r="F9" s="352">
        <f>Don_gia_PA!G12</f>
        <v>40565</v>
      </c>
      <c r="G9" s="352">
        <f>Don_gia_PA!G20</f>
        <v>160000</v>
      </c>
      <c r="H9" s="353">
        <f t="shared" ref="H9:H18" si="1">SUM(D9:G9)</f>
        <v>1441425</v>
      </c>
      <c r="I9" s="353">
        <f t="shared" si="0"/>
        <v>216213.75</v>
      </c>
      <c r="J9" s="404">
        <v>4</v>
      </c>
      <c r="K9" s="353">
        <f t="shared" ref="K9:K17" si="2">(H9+I9)*J9</f>
        <v>6630555</v>
      </c>
    </row>
    <row r="10" spans="1:11" x14ac:dyDescent="0.25">
      <c r="A10" s="348"/>
      <c r="B10" s="349" t="s">
        <v>171</v>
      </c>
      <c r="C10" s="350"/>
      <c r="D10" s="351">
        <f>Don_gia_PA!G3</f>
        <v>1138860</v>
      </c>
      <c r="E10" s="352">
        <f>Don_gia_PA!G4</f>
        <v>102000</v>
      </c>
      <c r="F10" s="352">
        <f>Don_gia_PA!G13</f>
        <v>42700</v>
      </c>
      <c r="G10" s="352">
        <f>Don_gia_PA!G20</f>
        <v>160000</v>
      </c>
      <c r="H10" s="353">
        <f>SUM(D10:G10)</f>
        <v>1443560</v>
      </c>
      <c r="I10" s="353">
        <f t="shared" si="0"/>
        <v>216534</v>
      </c>
      <c r="J10" s="404">
        <v>4</v>
      </c>
      <c r="K10" s="353">
        <f t="shared" si="2"/>
        <v>6640376</v>
      </c>
    </row>
    <row r="11" spans="1:11" x14ac:dyDescent="0.25">
      <c r="A11" s="348"/>
      <c r="B11" s="349" t="s">
        <v>138</v>
      </c>
      <c r="C11" s="350"/>
      <c r="D11" s="351">
        <f>Don_gia_PA!G3</f>
        <v>1138860</v>
      </c>
      <c r="E11" s="352">
        <f>E9</f>
        <v>102000</v>
      </c>
      <c r="F11" s="352">
        <f>Don_gia_PA!G14</f>
        <v>51240</v>
      </c>
      <c r="G11" s="352">
        <f>Don_gia_PA!G20</f>
        <v>160000</v>
      </c>
      <c r="H11" s="353">
        <f t="shared" si="1"/>
        <v>1452100</v>
      </c>
      <c r="I11" s="353">
        <f t="shared" si="0"/>
        <v>217815</v>
      </c>
      <c r="J11" s="404">
        <v>4</v>
      </c>
      <c r="K11" s="353">
        <f t="shared" si="2"/>
        <v>6679660</v>
      </c>
    </row>
    <row r="12" spans="1:11" x14ac:dyDescent="0.25">
      <c r="A12" s="348"/>
      <c r="B12" s="349" t="s">
        <v>139</v>
      </c>
      <c r="C12" s="350"/>
      <c r="D12" s="351">
        <f>Don_gia_PA!G3</f>
        <v>1138860</v>
      </c>
      <c r="E12" s="352">
        <f>E6</f>
        <v>102000</v>
      </c>
      <c r="F12" s="352">
        <f>Don_gia_PA!G15</f>
        <v>64050</v>
      </c>
      <c r="G12" s="352">
        <f>Don_gia_PA!G19</f>
        <v>200000</v>
      </c>
      <c r="H12" s="353">
        <f t="shared" si="1"/>
        <v>1504910</v>
      </c>
      <c r="I12" s="353">
        <f t="shared" si="0"/>
        <v>225736.5</v>
      </c>
      <c r="J12" s="404">
        <v>4</v>
      </c>
      <c r="K12" s="353">
        <f t="shared" si="2"/>
        <v>6922586</v>
      </c>
    </row>
    <row r="13" spans="1:11" x14ac:dyDescent="0.25">
      <c r="A13" s="348"/>
      <c r="B13" s="349" t="s">
        <v>35</v>
      </c>
      <c r="C13" s="350"/>
      <c r="D13" s="351">
        <f>Don_gia_PA!G3</f>
        <v>1138860</v>
      </c>
      <c r="E13" s="352">
        <f>E6</f>
        <v>102000</v>
      </c>
      <c r="F13" s="352">
        <f>Don_gia_PA!G16</f>
        <v>70455</v>
      </c>
      <c r="G13" s="352">
        <f>Don_gia_PA!G19</f>
        <v>200000</v>
      </c>
      <c r="H13" s="353">
        <f t="shared" si="1"/>
        <v>1511315</v>
      </c>
      <c r="I13" s="353">
        <f t="shared" si="0"/>
        <v>226697.25</v>
      </c>
      <c r="J13" s="404">
        <v>4</v>
      </c>
      <c r="K13" s="353">
        <f t="shared" si="2"/>
        <v>6952049</v>
      </c>
    </row>
    <row r="14" spans="1:11" x14ac:dyDescent="0.25">
      <c r="A14" s="354"/>
      <c r="B14" s="355" t="s">
        <v>36</v>
      </c>
      <c r="C14" s="356"/>
      <c r="D14" s="357">
        <f>Don_gia_PA!G3</f>
        <v>1138860</v>
      </c>
      <c r="E14" s="358">
        <f>E6</f>
        <v>102000</v>
      </c>
      <c r="F14" s="358">
        <f>Don_gia_PA!G17</f>
        <v>83265</v>
      </c>
      <c r="G14" s="358">
        <f>Don_gia_PA!G19</f>
        <v>200000</v>
      </c>
      <c r="H14" s="359">
        <f t="shared" si="1"/>
        <v>1524125</v>
      </c>
      <c r="I14" s="359">
        <f t="shared" si="0"/>
        <v>228618.75</v>
      </c>
      <c r="J14" s="439">
        <v>4</v>
      </c>
      <c r="K14" s="359">
        <f t="shared" si="2"/>
        <v>7010975</v>
      </c>
    </row>
    <row r="15" spans="1:11" ht="33" x14ac:dyDescent="0.25">
      <c r="A15" s="360">
        <v>2</v>
      </c>
      <c r="B15" s="361" t="str">
        <f>Don_gia_PA!B21</f>
        <v>Thu thập, rà soát hồ sơ, cơ sở pháp lý để lập Phương án</v>
      </c>
      <c r="C15" s="98"/>
      <c r="D15" s="315">
        <f>Don_gia_PA!G22</f>
        <v>1708290</v>
      </c>
      <c r="E15" s="322">
        <f>Don_gia_PA!G23</f>
        <v>204500</v>
      </c>
      <c r="F15" s="136"/>
      <c r="G15" s="136"/>
      <c r="H15" s="362">
        <f t="shared" si="1"/>
        <v>1912790</v>
      </c>
      <c r="I15" s="362">
        <f t="shared" si="0"/>
        <v>286918.5</v>
      </c>
      <c r="J15" s="407">
        <v>4</v>
      </c>
      <c r="K15" s="362">
        <f t="shared" si="2"/>
        <v>8798834</v>
      </c>
    </row>
    <row r="16" spans="1:11" ht="33" x14ac:dyDescent="0.25">
      <c r="A16" s="360">
        <v>3</v>
      </c>
      <c r="B16" s="361" t="str">
        <f>Don_gia_PA!B28</f>
        <v>Dự thảo Phương án lấy ý kiến các sở, ngành liên quan</v>
      </c>
      <c r="C16" s="98"/>
      <c r="D16" s="315">
        <f>Don_gia_PA!G29</f>
        <v>5124870</v>
      </c>
      <c r="E16" s="322">
        <f>Don_gia_PA!G30</f>
        <v>549500</v>
      </c>
      <c r="F16" s="136"/>
      <c r="G16" s="136"/>
      <c r="H16" s="362">
        <f t="shared" si="1"/>
        <v>5674370</v>
      </c>
      <c r="I16" s="362">
        <f t="shared" si="0"/>
        <v>851155.5</v>
      </c>
      <c r="J16" s="407">
        <v>4</v>
      </c>
      <c r="K16" s="362">
        <f>(H16+I16)*J16</f>
        <v>26102102</v>
      </c>
    </row>
    <row r="17" spans="1:11" ht="22.5" customHeight="1" x14ac:dyDescent="0.25">
      <c r="A17" s="360">
        <v>4</v>
      </c>
      <c r="B17" s="361" t="str">
        <f>Don_gia_PA!B35</f>
        <v>Tổng hợp ý kiến, hoàn chỉnh phương án</v>
      </c>
      <c r="C17" s="98"/>
      <c r="D17" s="315">
        <f>Don_gia_PA!G36</f>
        <v>3501225</v>
      </c>
      <c r="E17" s="322">
        <f>Don_gia_PA!G37</f>
        <v>292500</v>
      </c>
      <c r="F17" s="136"/>
      <c r="G17" s="136"/>
      <c r="H17" s="362">
        <f t="shared" si="1"/>
        <v>3793725</v>
      </c>
      <c r="I17" s="362">
        <f t="shared" si="0"/>
        <v>569058.75</v>
      </c>
      <c r="J17" s="407">
        <v>4</v>
      </c>
      <c r="K17" s="362">
        <f t="shared" si="2"/>
        <v>17451135</v>
      </c>
    </row>
    <row r="18" spans="1:11" ht="33" x14ac:dyDescent="0.25">
      <c r="A18" s="360">
        <v>5</v>
      </c>
      <c r="B18" s="361" t="str">
        <f>Don_gia_PA!B40</f>
        <v>Trình cấp thẩm quyền phê duyệt phương án</v>
      </c>
      <c r="C18" s="98"/>
      <c r="D18" s="315">
        <f>Don_gia_PA!G41</f>
        <v>569430</v>
      </c>
      <c r="E18" s="322">
        <f>Don_gia_PA!G42</f>
        <v>192500</v>
      </c>
      <c r="F18" s="136"/>
      <c r="G18" s="136"/>
      <c r="H18" s="362">
        <f t="shared" si="1"/>
        <v>761930</v>
      </c>
      <c r="I18" s="362">
        <f t="shared" si="0"/>
        <v>114289.5</v>
      </c>
      <c r="J18" s="407"/>
      <c r="K18" s="362">
        <f>(H18+I18)</f>
        <v>876219.5</v>
      </c>
    </row>
    <row r="19" spans="1:11" ht="34.5" customHeight="1" x14ac:dyDescent="0.25">
      <c r="A19" s="101">
        <v>6</v>
      </c>
      <c r="B19" s="390" t="str">
        <f>Don_gia_thanh!B45</f>
        <v>Chuẩn bị hồ sơ đấu giá quyền sử dụng đất</v>
      </c>
      <c r="C19" s="101" t="s">
        <v>44</v>
      </c>
      <c r="D19" s="363">
        <f>Don_gia_thanh!G46</f>
        <v>3529440</v>
      </c>
      <c r="E19" s="362">
        <f>Don_gia_thanh!G47</f>
        <v>295000</v>
      </c>
      <c r="F19" s="364"/>
      <c r="G19" s="364"/>
      <c r="H19" s="362">
        <f>SUM(D19:G19)</f>
        <v>3824440</v>
      </c>
      <c r="I19" s="362">
        <f>H19*15%</f>
        <v>573666</v>
      </c>
      <c r="J19" s="407">
        <v>4</v>
      </c>
      <c r="K19" s="362">
        <f>(H19+I19)*J19</f>
        <v>17592424</v>
      </c>
    </row>
    <row r="20" spans="1:11" ht="33.75" customHeight="1" x14ac:dyDescent="0.25">
      <c r="A20" s="101">
        <v>7</v>
      </c>
      <c r="B20" s="361" t="str">
        <f>Don_gia_thanh!B51</f>
        <v>Trình cơ quan có thẩm quyền quyết định đấu giá quyền sử dụng đất.</v>
      </c>
      <c r="C20" s="101" t="s">
        <v>44</v>
      </c>
      <c r="D20" s="363">
        <f>Don_gia_thanh!G52</f>
        <v>597645</v>
      </c>
      <c r="E20" s="362">
        <f>Don_gia_thanh!G53</f>
        <v>75500</v>
      </c>
      <c r="F20" s="365"/>
      <c r="G20" s="365"/>
      <c r="H20" s="362">
        <f t="shared" ref="H20:H45" si="3">SUM(D20:G20)</f>
        <v>673145</v>
      </c>
      <c r="I20" s="362">
        <f t="shared" ref="I20:I45" si="4">H20*15%</f>
        <v>100971.75</v>
      </c>
      <c r="J20" s="407"/>
      <c r="K20" s="362">
        <f>(H20+I20)</f>
        <v>774116.75</v>
      </c>
    </row>
    <row r="21" spans="1:11" ht="50.25" customHeight="1" x14ac:dyDescent="0.25">
      <c r="A21" s="101">
        <v>8</v>
      </c>
      <c r="B21" s="238" t="str">
        <f>Don_gia_thanh!B56</f>
        <v>Tổ chức thực hiện xác định giá khởi điểm trình cấp có thẩm quyền phê duyệt giá khởi điểm của thửa đất đấu giá</v>
      </c>
      <c r="C21" s="101" t="s">
        <v>44</v>
      </c>
      <c r="D21" s="363">
        <f>Don_gia_thanh!G57</f>
        <v>1138860</v>
      </c>
      <c r="E21" s="362">
        <f>Don_gia_thanh!G58</f>
        <v>290000</v>
      </c>
      <c r="F21" s="366"/>
      <c r="G21" s="365"/>
      <c r="H21" s="362">
        <f t="shared" si="3"/>
        <v>1428860</v>
      </c>
      <c r="I21" s="362">
        <f t="shared" si="4"/>
        <v>214329</v>
      </c>
      <c r="J21" s="407"/>
      <c r="K21" s="362">
        <f>H21+I21</f>
        <v>1643189</v>
      </c>
    </row>
    <row r="22" spans="1:11" ht="49.5" x14ac:dyDescent="0.25">
      <c r="A22" s="101">
        <v>9</v>
      </c>
      <c r="B22" s="238" t="str">
        <f>Don_gia_thanh!B62</f>
        <v>Trình cơ quan có thẩm quyền quyết định bước giá để tổ chức đấu giá quyền sử dụng đất theo quy định.</v>
      </c>
      <c r="C22" s="101"/>
      <c r="D22" s="363">
        <f>Don_gia_thanh!G63</f>
        <v>6833160</v>
      </c>
      <c r="E22" s="362">
        <f>Don_gia_thanh!G64</f>
        <v>290000</v>
      </c>
      <c r="F22" s="366"/>
      <c r="G22" s="365"/>
      <c r="H22" s="362">
        <f t="shared" si="3"/>
        <v>7123160</v>
      </c>
      <c r="I22" s="362">
        <f t="shared" si="4"/>
        <v>1068474</v>
      </c>
      <c r="J22" s="407"/>
      <c r="K22" s="362">
        <f>H22+I22</f>
        <v>8191634</v>
      </c>
    </row>
    <row r="23" spans="1:11" ht="51.75" customHeight="1" x14ac:dyDescent="0.25">
      <c r="A23" s="101">
        <v>10</v>
      </c>
      <c r="B23" s="238" t="str">
        <f>Don_gia_thanh!B69</f>
        <v>Lựa chọn tổ chức đấu giá tài sản theo Thông tư số 02/2022/TT-BTP ngày 08/02/2022 của Bộ trưởng Bộ Tư pháp.</v>
      </c>
      <c r="C23" s="101"/>
      <c r="D23" s="367"/>
      <c r="E23" s="366"/>
      <c r="F23" s="366"/>
      <c r="G23" s="366"/>
      <c r="H23" s="362"/>
      <c r="I23" s="362"/>
      <c r="J23" s="407"/>
      <c r="K23" s="362"/>
    </row>
    <row r="24" spans="1:11" ht="52.5" customHeight="1" x14ac:dyDescent="0.25">
      <c r="A24" s="368" t="s">
        <v>173</v>
      </c>
      <c r="B24" s="239" t="str">
        <f>Don_gia_thanh!B70</f>
        <v xml:space="preserve">Lập hồ sơ, ban hành khung tiêu chí và thông báo công khai tiêu chí lựa chọn tổ chức đấu giá tài sản </v>
      </c>
      <c r="C24" s="368"/>
      <c r="D24" s="369">
        <f>Don_gia_thanh!G71</f>
        <v>3416580</v>
      </c>
      <c r="E24" s="370">
        <f>Don_gia_thanh!G72</f>
        <v>502500</v>
      </c>
      <c r="F24" s="371"/>
      <c r="G24" s="371"/>
      <c r="H24" s="370">
        <f t="shared" si="3"/>
        <v>3919080</v>
      </c>
      <c r="I24" s="370">
        <f t="shared" si="4"/>
        <v>587862</v>
      </c>
      <c r="J24" s="408">
        <v>4</v>
      </c>
      <c r="K24" s="370">
        <f>(H24+I24)*J24</f>
        <v>18027768</v>
      </c>
    </row>
    <row r="25" spans="1:11" ht="33" x14ac:dyDescent="0.25">
      <c r="A25" s="368" t="s">
        <v>175</v>
      </c>
      <c r="B25" s="239" t="str">
        <f>Don_gia_thanh!B76</f>
        <v>Đánh giá, chấm điểm theo tiêu chí lựa chọn tổ chức đấu giá tài sản</v>
      </c>
      <c r="C25" s="368"/>
      <c r="D25" s="369">
        <f>Don_gia_thanh!G77</f>
        <v>4270725</v>
      </c>
      <c r="E25" s="370">
        <f>Don_gia_thanh!G78</f>
        <v>212500</v>
      </c>
      <c r="F25" s="371"/>
      <c r="G25" s="371"/>
      <c r="H25" s="370">
        <f t="shared" si="3"/>
        <v>4483225</v>
      </c>
      <c r="I25" s="370">
        <f t="shared" si="4"/>
        <v>672483.75</v>
      </c>
      <c r="J25" s="408">
        <v>4</v>
      </c>
      <c r="K25" s="370">
        <f>(H25+I25)*J25</f>
        <v>20622835</v>
      </c>
    </row>
    <row r="26" spans="1:11" ht="33" x14ac:dyDescent="0.25">
      <c r="A26" s="368" t="s">
        <v>176</v>
      </c>
      <c r="B26" s="239" t="str">
        <f>Don_gia_thanh!B82</f>
        <v>Thông báo kết quả lựa chọn tổ chức đấu giá tài sản</v>
      </c>
      <c r="C26" s="368"/>
      <c r="D26" s="369">
        <f>Don_gia_thanh!G83</f>
        <v>597645</v>
      </c>
      <c r="E26" s="370">
        <f>Don_gia_thanh!G84</f>
        <v>100000</v>
      </c>
      <c r="F26" s="371"/>
      <c r="G26" s="371"/>
      <c r="H26" s="370">
        <f t="shared" si="3"/>
        <v>697645</v>
      </c>
      <c r="I26" s="370">
        <f t="shared" si="4"/>
        <v>104646.75</v>
      </c>
      <c r="J26" s="408">
        <v>4</v>
      </c>
      <c r="K26" s="370">
        <f>(H26+I26)*J26</f>
        <v>3209167</v>
      </c>
    </row>
    <row r="27" spans="1:11" ht="33" x14ac:dyDescent="0.25">
      <c r="A27" s="368" t="s">
        <v>177</v>
      </c>
      <c r="B27" s="239" t="str">
        <f>Don_gia_thanh!B87</f>
        <v>Ký hợp đồng với đơn vị thực hiện cuộc bán đấu giá theo quy định</v>
      </c>
      <c r="C27" s="368"/>
      <c r="D27" s="369">
        <f>Don_gia_thanh!G88</f>
        <v>1764720</v>
      </c>
      <c r="E27" s="370">
        <f>Don_gia_thanh!G89</f>
        <v>295000</v>
      </c>
      <c r="F27" s="371"/>
      <c r="G27" s="371"/>
      <c r="H27" s="370">
        <f t="shared" si="3"/>
        <v>2059720</v>
      </c>
      <c r="I27" s="370">
        <f t="shared" si="4"/>
        <v>308958</v>
      </c>
      <c r="J27" s="408">
        <v>4</v>
      </c>
      <c r="K27" s="370">
        <f>(H27+I27)*J27</f>
        <v>9474712</v>
      </c>
    </row>
    <row r="28" spans="1:11" ht="150.75" customHeight="1" x14ac:dyDescent="0.25">
      <c r="A28" s="101">
        <v>11</v>
      </c>
      <c r="B28" s="238" t="str">
        <f>Don_gia_thanh!B93</f>
        <v>Phối hợp đơn vị tổ chức đấu giá tài sản thông báo về việc bán đấu giá tài sản; Ban hành Quy chế cuộc bán đấu giá; Thực hiện việc niêm yết đấu giá tài sản và đăng tải thông tin về việc đấu giá tài sản theo quy định; Xét hồ sơ đăng ký tham gia đấu giá; Tổ chức đấu giá quyền sử dụng đất theo quy định; Báo cáo về kết quả thực hiện đấu giá.</v>
      </c>
      <c r="C28" s="101"/>
      <c r="D28" s="367"/>
      <c r="E28" s="366"/>
      <c r="F28" s="366"/>
      <c r="G28" s="366"/>
      <c r="H28" s="362"/>
      <c r="I28" s="362"/>
      <c r="J28" s="407"/>
      <c r="K28" s="362"/>
    </row>
    <row r="29" spans="1:11" ht="99" x14ac:dyDescent="0.25">
      <c r="A29" s="368" t="s">
        <v>178</v>
      </c>
      <c r="B29" s="239" t="str">
        <f>Don_gia_thanh!B94</f>
        <v>Phối hợp đơn vị tổ chức đấu giá tài sản thông báo về việc bán đấu giá tài sản;Ban hành Quy chế cuộc bán đấu giá; Thực hiện việc niêm yết đấu giá tài sản và đăng tải thông tin về việc đấu giá tài sản theo quy định</v>
      </c>
      <c r="C29" s="368"/>
      <c r="D29" s="369">
        <f>Don_gia_thanh!G94</f>
        <v>3416580</v>
      </c>
      <c r="E29" s="371"/>
      <c r="F29" s="371"/>
      <c r="G29" s="371"/>
      <c r="H29" s="370">
        <f t="shared" si="3"/>
        <v>3416580</v>
      </c>
      <c r="I29" s="370">
        <f t="shared" si="4"/>
        <v>512487</v>
      </c>
      <c r="J29" s="408">
        <v>4</v>
      </c>
      <c r="K29" s="362">
        <f t="shared" ref="K29:K40" si="5">(H29+I29)*J29</f>
        <v>15716268</v>
      </c>
    </row>
    <row r="30" spans="1:11" ht="21.75" customHeight="1" x14ac:dyDescent="0.25">
      <c r="A30" s="368" t="s">
        <v>174</v>
      </c>
      <c r="B30" s="239" t="str">
        <f>Don_gia_thanh!B95</f>
        <v xml:space="preserve"> Xét hồ sơ đăng ký tham gia đấu giá</v>
      </c>
      <c r="C30" s="368"/>
      <c r="D30" s="372">
        <f>Don_gia_thanh!G96</f>
        <v>4555440</v>
      </c>
      <c r="E30" s="371">
        <f>Don_gia_thanh!G97</f>
        <v>202500</v>
      </c>
      <c r="F30" s="371"/>
      <c r="G30" s="371"/>
      <c r="H30" s="370">
        <f t="shared" si="3"/>
        <v>4757940</v>
      </c>
      <c r="I30" s="370">
        <f t="shared" si="4"/>
        <v>713691</v>
      </c>
      <c r="J30" s="408">
        <v>4</v>
      </c>
      <c r="K30" s="362">
        <f t="shared" si="5"/>
        <v>21886524</v>
      </c>
    </row>
    <row r="31" spans="1:11" ht="33" x14ac:dyDescent="0.25">
      <c r="A31" s="428" t="s">
        <v>179</v>
      </c>
      <c r="B31" s="429" t="str">
        <f>Don_gia_thanh!B101</f>
        <v>Tổ chức đấu giá quyền sử dụng đất theo quy định</v>
      </c>
      <c r="C31" s="428"/>
      <c r="D31" s="430"/>
      <c r="E31" s="431"/>
      <c r="F31" s="431"/>
      <c r="G31" s="431"/>
      <c r="H31" s="432"/>
      <c r="I31" s="432"/>
      <c r="J31" s="433"/>
      <c r="K31" s="434"/>
    </row>
    <row r="32" spans="1:11" x14ac:dyDescent="0.25">
      <c r="A32" s="378"/>
      <c r="B32" s="379" t="s">
        <v>30</v>
      </c>
      <c r="C32" s="378"/>
      <c r="D32" s="380">
        <f>Don_gia_thanh!G102</f>
        <v>882360</v>
      </c>
      <c r="E32" s="381"/>
      <c r="F32" s="381">
        <f>Don_gia_thanh!G104</f>
        <v>0</v>
      </c>
      <c r="G32" s="381"/>
      <c r="H32" s="337">
        <f t="shared" si="3"/>
        <v>882360</v>
      </c>
      <c r="I32" s="337">
        <f t="shared" si="4"/>
        <v>132354</v>
      </c>
      <c r="J32" s="417">
        <v>4</v>
      </c>
      <c r="K32" s="353">
        <f t="shared" si="5"/>
        <v>4058856</v>
      </c>
    </row>
    <row r="33" spans="1:14" x14ac:dyDescent="0.25">
      <c r="A33" s="378"/>
      <c r="B33" s="379" t="s">
        <v>31</v>
      </c>
      <c r="C33" s="378"/>
      <c r="D33" s="380">
        <f>Don_gia_thanh!G102</f>
        <v>882360</v>
      </c>
      <c r="E33" s="381"/>
      <c r="F33" s="381">
        <f>Don_gia_thanh!G105</f>
        <v>21350</v>
      </c>
      <c r="G33" s="381">
        <f>Don_gia_thanh!G115</f>
        <v>80000</v>
      </c>
      <c r="H33" s="337">
        <f t="shared" si="3"/>
        <v>983710</v>
      </c>
      <c r="I33" s="337">
        <f t="shared" si="4"/>
        <v>147556.5</v>
      </c>
      <c r="J33" s="417">
        <v>4</v>
      </c>
      <c r="K33" s="353">
        <f t="shared" si="5"/>
        <v>4525066</v>
      </c>
    </row>
    <row r="34" spans="1:14" x14ac:dyDescent="0.25">
      <c r="A34" s="378"/>
      <c r="B34" s="379" t="s">
        <v>32</v>
      </c>
      <c r="C34" s="378"/>
      <c r="D34" s="380">
        <f>Don_gia_thanh!G102</f>
        <v>882360</v>
      </c>
      <c r="E34" s="381"/>
      <c r="F34" s="381">
        <f>Don_gia_thanh!G106</f>
        <v>29890</v>
      </c>
      <c r="G34" s="381">
        <f>Don_gia_thanh!G115</f>
        <v>80000</v>
      </c>
      <c r="H34" s="337">
        <f t="shared" si="3"/>
        <v>992250</v>
      </c>
      <c r="I34" s="337">
        <f t="shared" si="4"/>
        <v>148837.5</v>
      </c>
      <c r="J34" s="417">
        <v>4</v>
      </c>
      <c r="K34" s="353">
        <f t="shared" si="5"/>
        <v>4564350</v>
      </c>
    </row>
    <row r="35" spans="1:14" x14ac:dyDescent="0.25">
      <c r="A35" s="378"/>
      <c r="B35" s="379" t="s">
        <v>172</v>
      </c>
      <c r="C35" s="378"/>
      <c r="D35" s="380">
        <f>Don_gia_thanh!G102</f>
        <v>882360</v>
      </c>
      <c r="E35" s="381"/>
      <c r="F35" s="381">
        <f>Don_gia_thanh!G107</f>
        <v>40565</v>
      </c>
      <c r="G35" s="381">
        <f>Don_gia_thanh!G115</f>
        <v>80000</v>
      </c>
      <c r="H35" s="337">
        <f t="shared" si="3"/>
        <v>1002925</v>
      </c>
      <c r="I35" s="337">
        <f t="shared" si="4"/>
        <v>150438.75</v>
      </c>
      <c r="J35" s="417">
        <v>4</v>
      </c>
      <c r="K35" s="353">
        <f t="shared" si="5"/>
        <v>4613455</v>
      </c>
    </row>
    <row r="36" spans="1:14" x14ac:dyDescent="0.25">
      <c r="A36" s="378"/>
      <c r="B36" s="379" t="s">
        <v>171</v>
      </c>
      <c r="C36" s="378"/>
      <c r="D36" s="380">
        <f>Don_gia_thanh!G102</f>
        <v>882360</v>
      </c>
      <c r="E36" s="381"/>
      <c r="F36" s="381">
        <f>Don_gia_thanh!G108</f>
        <v>42700</v>
      </c>
      <c r="G36" s="381">
        <f>Don_gia_thanh!G115</f>
        <v>80000</v>
      </c>
      <c r="H36" s="337">
        <f t="shared" si="3"/>
        <v>1005060</v>
      </c>
      <c r="I36" s="337">
        <f t="shared" si="4"/>
        <v>150759</v>
      </c>
      <c r="J36" s="417">
        <v>4</v>
      </c>
      <c r="K36" s="353">
        <f t="shared" si="5"/>
        <v>4623276</v>
      </c>
    </row>
    <row r="37" spans="1:14" x14ac:dyDescent="0.25">
      <c r="A37" s="378"/>
      <c r="B37" s="379" t="s">
        <v>138</v>
      </c>
      <c r="C37" s="378"/>
      <c r="D37" s="380">
        <f>Don_gia_thanh!G102</f>
        <v>882360</v>
      </c>
      <c r="E37" s="381"/>
      <c r="F37" s="381">
        <f>Don_gia_thanh!G109</f>
        <v>51240</v>
      </c>
      <c r="G37" s="381">
        <f>Don_gia_thanh!G115</f>
        <v>80000</v>
      </c>
      <c r="H37" s="337">
        <f t="shared" si="3"/>
        <v>1013600</v>
      </c>
      <c r="I37" s="337">
        <f>H37*15%</f>
        <v>152040</v>
      </c>
      <c r="J37" s="417">
        <v>4</v>
      </c>
      <c r="K37" s="353">
        <f t="shared" si="5"/>
        <v>4662560</v>
      </c>
    </row>
    <row r="38" spans="1:14" x14ac:dyDescent="0.25">
      <c r="A38" s="378"/>
      <c r="B38" s="379" t="s">
        <v>139</v>
      </c>
      <c r="C38" s="378"/>
      <c r="D38" s="380">
        <f>Don_gia_thanh!G102</f>
        <v>882360</v>
      </c>
      <c r="E38" s="381"/>
      <c r="F38" s="381">
        <f>Don_gia_thanh!G110</f>
        <v>64050</v>
      </c>
      <c r="G38" s="381">
        <f>Don_gia_thanh!G114</f>
        <v>100000</v>
      </c>
      <c r="H38" s="337">
        <f t="shared" si="3"/>
        <v>1046410</v>
      </c>
      <c r="I38" s="337">
        <f t="shared" si="4"/>
        <v>156961.5</v>
      </c>
      <c r="J38" s="417">
        <v>4</v>
      </c>
      <c r="K38" s="353">
        <f t="shared" si="5"/>
        <v>4813486</v>
      </c>
    </row>
    <row r="39" spans="1:14" x14ac:dyDescent="0.25">
      <c r="A39" s="378"/>
      <c r="B39" s="379" t="s">
        <v>35</v>
      </c>
      <c r="C39" s="378"/>
      <c r="D39" s="380">
        <f>Don_gia_thanh!G102</f>
        <v>882360</v>
      </c>
      <c r="E39" s="381"/>
      <c r="F39" s="381">
        <f>Don_gia_thanh!G111</f>
        <v>70455</v>
      </c>
      <c r="G39" s="381">
        <f>Don_gia_thanh!G114</f>
        <v>100000</v>
      </c>
      <c r="H39" s="337">
        <f t="shared" si="3"/>
        <v>1052815</v>
      </c>
      <c r="I39" s="337">
        <f t="shared" si="4"/>
        <v>157922.25</v>
      </c>
      <c r="J39" s="417">
        <v>4</v>
      </c>
      <c r="K39" s="353">
        <f t="shared" si="5"/>
        <v>4842949</v>
      </c>
    </row>
    <row r="40" spans="1:14" x14ac:dyDescent="0.25">
      <c r="A40" s="382"/>
      <c r="B40" s="383" t="s">
        <v>36</v>
      </c>
      <c r="C40" s="382"/>
      <c r="D40" s="384">
        <f>Don_gia_thanh!G102</f>
        <v>882360</v>
      </c>
      <c r="E40" s="385"/>
      <c r="F40" s="385">
        <f>Don_gia_thanh!G112</f>
        <v>83265</v>
      </c>
      <c r="G40" s="385">
        <f>Don_gia_thanh!G114</f>
        <v>100000</v>
      </c>
      <c r="H40" s="418">
        <f t="shared" si="3"/>
        <v>1065625</v>
      </c>
      <c r="I40" s="418">
        <f t="shared" si="4"/>
        <v>159843.75</v>
      </c>
      <c r="J40" s="417">
        <v>4</v>
      </c>
      <c r="K40" s="359">
        <f t="shared" si="5"/>
        <v>4901875</v>
      </c>
    </row>
    <row r="41" spans="1:14" ht="25.5" customHeight="1" x14ac:dyDescent="0.25">
      <c r="A41" s="420">
        <v>12</v>
      </c>
      <c r="B41" s="339" t="str">
        <f>Don_gia_thanh!B116</f>
        <v>Báo cáo về kết quả thực hiện đấu giá</v>
      </c>
      <c r="C41" s="101"/>
      <c r="D41" s="363">
        <f>Don_gia_thanh!G117</f>
        <v>1792935</v>
      </c>
      <c r="E41" s="362">
        <f>Don_gia_thanh!G118</f>
        <v>192500</v>
      </c>
      <c r="F41" s="366"/>
      <c r="G41" s="366"/>
      <c r="H41" s="362">
        <f t="shared" si="3"/>
        <v>1985435</v>
      </c>
      <c r="I41" s="362">
        <f t="shared" si="4"/>
        <v>297815.25</v>
      </c>
      <c r="J41" s="407"/>
      <c r="K41" s="362">
        <f>H41+I41</f>
        <v>2283250.25</v>
      </c>
    </row>
    <row r="42" spans="1:14" ht="54" customHeight="1" x14ac:dyDescent="0.25">
      <c r="A42" s="101">
        <v>13</v>
      </c>
      <c r="B42" s="238" t="str">
        <f>Don_gia_thanh!B121</f>
        <v>Tổ chức ký hợp đồng mua bán tài sản đấu giá theo quy định tại Điều 46 Luật Đấu giá tài sản ngày 17/11/2016</v>
      </c>
      <c r="C42" s="101"/>
      <c r="D42" s="363">
        <f>Don_gia_thanh!G122</f>
        <v>1708290</v>
      </c>
      <c r="E42" s="363">
        <f>Don_gia_thanh!G123</f>
        <v>200000</v>
      </c>
      <c r="F42" s="366"/>
      <c r="G42" s="366"/>
      <c r="H42" s="362">
        <f t="shared" si="3"/>
        <v>1908290</v>
      </c>
      <c r="I42" s="362">
        <f t="shared" si="4"/>
        <v>286243.5</v>
      </c>
      <c r="J42" s="407"/>
      <c r="K42" s="362">
        <f>H42+I42</f>
        <v>2194533.5</v>
      </c>
    </row>
    <row r="43" spans="1:14" ht="51" customHeight="1" x14ac:dyDescent="0.25">
      <c r="A43" s="101">
        <v>14</v>
      </c>
      <c r="B43" s="238" t="str">
        <f>Don_gia_thanh!B126</f>
        <v>Trình cơ quan có thẩm quyền phê duyệt kết quả đấu giá đấu giá quyền sử dụng đất</v>
      </c>
      <c r="C43" s="101"/>
      <c r="D43" s="363">
        <f>Don_gia_thanh!G127</f>
        <v>1792935</v>
      </c>
      <c r="E43" s="363">
        <f>Don_gia_thanh!G128</f>
        <v>192500</v>
      </c>
      <c r="F43" s="366"/>
      <c r="G43" s="366"/>
      <c r="H43" s="362">
        <f t="shared" si="3"/>
        <v>1985435</v>
      </c>
      <c r="I43" s="362">
        <f t="shared" si="4"/>
        <v>297815.25</v>
      </c>
      <c r="J43" s="407"/>
      <c r="K43" s="362">
        <f>H43+I43</f>
        <v>2283250.25</v>
      </c>
    </row>
    <row r="44" spans="1:14" ht="20.25" customHeight="1" x14ac:dyDescent="0.25">
      <c r="A44" s="101">
        <v>15</v>
      </c>
      <c r="B44" s="238" t="str">
        <f>Don_gia_thanh!B131</f>
        <v>Nộp tiền sử dụng đất, tiền thuê đất</v>
      </c>
      <c r="C44" s="101"/>
      <c r="D44" s="363">
        <f>Don_gia_thanh!G132</f>
        <v>882360</v>
      </c>
      <c r="E44" s="363">
        <f>Don_gia_thanh!G133</f>
        <v>83000</v>
      </c>
      <c r="F44" s="366"/>
      <c r="G44" s="366"/>
      <c r="H44" s="362">
        <f t="shared" si="3"/>
        <v>965360</v>
      </c>
      <c r="I44" s="362">
        <f t="shared" si="4"/>
        <v>144804</v>
      </c>
      <c r="J44" s="407"/>
      <c r="K44" s="362">
        <f>H44+I44</f>
        <v>1110164</v>
      </c>
      <c r="L44" s="340" t="s">
        <v>181</v>
      </c>
      <c r="M44" s="340" t="s">
        <v>182</v>
      </c>
    </row>
    <row r="45" spans="1:14" ht="49.5" x14ac:dyDescent="0.25">
      <c r="A45" s="101">
        <v>16</v>
      </c>
      <c r="B45" s="238" t="str">
        <f>Don_gia_thanh!B136</f>
        <v>Cấp giấy chứng nhận quyền sử dụng đất, giao đất trên thực địa cho người trúng đấu giá</v>
      </c>
      <c r="C45" s="101"/>
      <c r="D45" s="363">
        <f>Don_gia_thanh!G136</f>
        <v>284715</v>
      </c>
      <c r="E45" s="363"/>
      <c r="F45" s="366"/>
      <c r="G45" s="366"/>
      <c r="H45" s="362">
        <f t="shared" si="3"/>
        <v>284715</v>
      </c>
      <c r="I45" s="362">
        <f t="shared" si="4"/>
        <v>42707.25</v>
      </c>
      <c r="J45" s="407"/>
      <c r="K45" s="362">
        <f>H45+I45</f>
        <v>327422.25</v>
      </c>
      <c r="L45" s="391">
        <f>K6+K15+K16+K17+K18+K19+K20+K21+K22+K24+K25+K26+K27+K29+K30+K32+K41+K42+K43+K44+K45</f>
        <v>188332360.5</v>
      </c>
      <c r="M45" s="391">
        <f>K7+K15+K16+K17+K18+K19+K20+K21+K22+K24+K25+K26+K27+K29+K30+K33+K41+K42+K43+K44+K45</f>
        <v>189632780.5</v>
      </c>
      <c r="N45" s="391"/>
    </row>
    <row r="47" spans="1:14" x14ac:dyDescent="0.25">
      <c r="L47" s="386"/>
      <c r="M47" s="386"/>
    </row>
  </sheetData>
  <mergeCells count="2">
    <mergeCell ref="A1:K1"/>
    <mergeCell ref="A2:K2"/>
  </mergeCells>
  <pageMargins left="0.64" right="0.28000000000000003" top="0.35" bottom="0.41" header="0.3" footer="0.17"/>
  <pageSetup paperSize="9" orientation="landscape"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selection activeCell="A3" sqref="A3"/>
    </sheetView>
  </sheetViews>
  <sheetFormatPr defaultColWidth="9" defaultRowHeight="16.5" x14ac:dyDescent="0.25"/>
  <cols>
    <col min="1" max="1" width="5.75" style="340" bestFit="1" customWidth="1"/>
    <col min="2" max="2" width="36.375" style="340" customWidth="1"/>
    <col min="3" max="3" width="2.75" style="387" hidden="1" customWidth="1"/>
    <col min="4" max="4" width="10.75" style="388" bestFit="1" customWidth="1"/>
    <col min="5" max="5" width="9" style="340"/>
    <col min="6" max="6" width="10.125" style="340" customWidth="1"/>
    <col min="7" max="7" width="10.25" style="340" customWidth="1"/>
    <col min="8" max="8" width="11.125" style="340" bestFit="1" customWidth="1"/>
    <col min="9" max="9" width="12.75" style="340" customWidth="1"/>
    <col min="10" max="10" width="5.75" style="421" bestFit="1" customWidth="1"/>
    <col min="11" max="11" width="14" style="386" bestFit="1" customWidth="1"/>
    <col min="12" max="13" width="12.25" style="340" bestFit="1" customWidth="1"/>
    <col min="14" max="14" width="10" style="340" bestFit="1" customWidth="1"/>
    <col min="15" max="16384" width="9" style="340"/>
  </cols>
  <sheetData>
    <row r="1" spans="1:12" x14ac:dyDescent="0.25">
      <c r="A1" s="739" t="s">
        <v>117</v>
      </c>
      <c r="B1" s="739"/>
      <c r="C1" s="739"/>
      <c r="D1" s="739"/>
      <c r="E1" s="739"/>
      <c r="F1" s="739"/>
      <c r="G1" s="739"/>
      <c r="H1" s="739"/>
      <c r="I1" s="739"/>
      <c r="J1" s="739"/>
      <c r="K1" s="739"/>
    </row>
    <row r="2" spans="1:12" ht="39" customHeight="1" x14ac:dyDescent="0.25">
      <c r="A2" s="776" t="s">
        <v>186</v>
      </c>
      <c r="B2" s="777"/>
      <c r="C2" s="777"/>
      <c r="D2" s="777"/>
      <c r="E2" s="777"/>
      <c r="F2" s="777"/>
      <c r="G2" s="777"/>
      <c r="H2" s="777"/>
      <c r="I2" s="777"/>
      <c r="J2" s="777"/>
      <c r="K2" s="777"/>
    </row>
    <row r="3" spans="1:12" ht="21.75" customHeight="1" x14ac:dyDescent="0.25">
      <c r="A3" s="341"/>
      <c r="B3" s="341"/>
      <c r="C3" s="341"/>
      <c r="D3" s="342"/>
      <c r="E3" s="341"/>
      <c r="F3" s="341"/>
      <c r="G3" s="341"/>
      <c r="H3" s="341"/>
      <c r="I3" s="341"/>
      <c r="J3" s="394"/>
      <c r="K3" s="343" t="s">
        <v>118</v>
      </c>
    </row>
    <row r="4" spans="1:12" ht="54" customHeight="1" x14ac:dyDescent="0.25">
      <c r="A4" s="344" t="s">
        <v>0</v>
      </c>
      <c r="B4" s="344" t="s">
        <v>1</v>
      </c>
      <c r="C4" s="98" t="s">
        <v>4</v>
      </c>
      <c r="D4" s="389" t="s">
        <v>119</v>
      </c>
      <c r="E4" s="136" t="s">
        <v>120</v>
      </c>
      <c r="F4" s="136" t="s">
        <v>121</v>
      </c>
      <c r="G4" s="137" t="s">
        <v>122</v>
      </c>
      <c r="H4" s="136" t="s">
        <v>123</v>
      </c>
      <c r="I4" s="136" t="s">
        <v>124</v>
      </c>
      <c r="J4" s="395" t="s">
        <v>86</v>
      </c>
      <c r="K4" s="136" t="s">
        <v>78</v>
      </c>
    </row>
    <row r="5" spans="1:12" ht="53.25" customHeight="1" x14ac:dyDescent="0.25">
      <c r="A5" s="424">
        <v>1</v>
      </c>
      <c r="B5" s="425" t="str">
        <f>Don_gia_PA!B2</f>
        <v>Kiểm tra lại ranh giới, hiện trạng sử dụng khu đất và phối hợp với địa phương xử lý một số vướng mắc phát sinh (nếu có)</v>
      </c>
      <c r="C5" s="426"/>
      <c r="D5" s="422"/>
      <c r="E5" s="423"/>
      <c r="F5" s="423"/>
      <c r="G5" s="423"/>
      <c r="H5" s="423"/>
      <c r="I5" s="423"/>
      <c r="J5" s="427"/>
      <c r="K5" s="423"/>
    </row>
    <row r="6" spans="1:12" x14ac:dyDescent="0.25">
      <c r="A6" s="348"/>
      <c r="B6" s="349" t="s">
        <v>30</v>
      </c>
      <c r="C6" s="350"/>
      <c r="D6" s="351">
        <f>Don_gia_PA!G3</f>
        <v>1138860</v>
      </c>
      <c r="E6" s="352">
        <f>Don_gia_PA!G4</f>
        <v>102000</v>
      </c>
      <c r="F6" s="352">
        <f>Don_gia_PA!G9</f>
        <v>0</v>
      </c>
      <c r="G6" s="352"/>
      <c r="H6" s="353">
        <f>SUM(D6:G6)</f>
        <v>1240860</v>
      </c>
      <c r="I6" s="353">
        <f t="shared" ref="I6:I22" si="0">H6*15%</f>
        <v>186129</v>
      </c>
      <c r="J6" s="404">
        <v>5</v>
      </c>
      <c r="K6" s="353">
        <f t="shared" ref="K6:K17" si="1">(H6+I6)*J6</f>
        <v>7134945</v>
      </c>
      <c r="L6" s="352">
        <f>H6*3.5</f>
        <v>4343010</v>
      </c>
    </row>
    <row r="7" spans="1:12" x14ac:dyDescent="0.25">
      <c r="A7" s="348"/>
      <c r="B7" s="349" t="s">
        <v>31</v>
      </c>
      <c r="C7" s="350"/>
      <c r="D7" s="351">
        <f>Don_gia_PA!G3</f>
        <v>1138860</v>
      </c>
      <c r="E7" s="352">
        <f>Don_gia_PA!G4</f>
        <v>102000</v>
      </c>
      <c r="F7" s="352">
        <f>Don_gia_PA!G10</f>
        <v>21350</v>
      </c>
      <c r="G7" s="352">
        <f>Don_gia_PA!G20</f>
        <v>160000</v>
      </c>
      <c r="H7" s="353">
        <f>SUM(D7:G7)</f>
        <v>1422210</v>
      </c>
      <c r="I7" s="353">
        <f t="shared" si="0"/>
        <v>213331.5</v>
      </c>
      <c r="J7" s="404">
        <v>5</v>
      </c>
      <c r="K7" s="353">
        <f t="shared" si="1"/>
        <v>8177707.5</v>
      </c>
      <c r="L7" s="352">
        <f>L6*15%</f>
        <v>651451.5</v>
      </c>
    </row>
    <row r="8" spans="1:12" x14ac:dyDescent="0.25">
      <c r="A8" s="348"/>
      <c r="B8" s="349" t="s">
        <v>32</v>
      </c>
      <c r="C8" s="350"/>
      <c r="D8" s="351">
        <f>Don_gia_PA!G3</f>
        <v>1138860</v>
      </c>
      <c r="E8" s="352">
        <f>Don_gia_PA!G4</f>
        <v>102000</v>
      </c>
      <c r="F8" s="352">
        <f>Don_gia_PA!G11</f>
        <v>29890</v>
      </c>
      <c r="G8" s="352">
        <f>Don_gia_PA!G20</f>
        <v>160000</v>
      </c>
      <c r="H8" s="353">
        <f>SUM(D8:G8)</f>
        <v>1430750</v>
      </c>
      <c r="I8" s="353">
        <f t="shared" si="0"/>
        <v>214612.5</v>
      </c>
      <c r="J8" s="404">
        <v>5</v>
      </c>
      <c r="K8" s="353">
        <f t="shared" si="1"/>
        <v>8226812.5</v>
      </c>
      <c r="L8" s="352">
        <f>L6+L7</f>
        <v>4994461.5</v>
      </c>
    </row>
    <row r="9" spans="1:12" x14ac:dyDescent="0.25">
      <c r="A9" s="348"/>
      <c r="B9" s="349" t="s">
        <v>172</v>
      </c>
      <c r="C9" s="350"/>
      <c r="D9" s="351">
        <f>Don_gia_PA!G3</f>
        <v>1138860</v>
      </c>
      <c r="E9" s="352">
        <f>Don_gia_PA!G4</f>
        <v>102000</v>
      </c>
      <c r="F9" s="352">
        <f>Don_gia_PA!G12</f>
        <v>40565</v>
      </c>
      <c r="G9" s="352">
        <f>Don_gia_PA!G20</f>
        <v>160000</v>
      </c>
      <c r="H9" s="353">
        <f t="shared" ref="H9:H18" si="2">SUM(D9:G9)</f>
        <v>1441425</v>
      </c>
      <c r="I9" s="353">
        <f t="shared" si="0"/>
        <v>216213.75</v>
      </c>
      <c r="J9" s="404">
        <v>5</v>
      </c>
      <c r="K9" s="353">
        <f t="shared" si="1"/>
        <v>8288193.75</v>
      </c>
    </row>
    <row r="10" spans="1:12" x14ac:dyDescent="0.25">
      <c r="A10" s="348"/>
      <c r="B10" s="349" t="s">
        <v>171</v>
      </c>
      <c r="C10" s="350"/>
      <c r="D10" s="351">
        <f>Don_gia_PA!G3</f>
        <v>1138860</v>
      </c>
      <c r="E10" s="352">
        <f>Don_gia_PA!G4</f>
        <v>102000</v>
      </c>
      <c r="F10" s="352">
        <f>Don_gia_PA!G13</f>
        <v>42700</v>
      </c>
      <c r="G10" s="352">
        <f>Don_gia_PA!G20</f>
        <v>160000</v>
      </c>
      <c r="H10" s="353">
        <f>SUM(D10:G10)</f>
        <v>1443560</v>
      </c>
      <c r="I10" s="353">
        <f t="shared" si="0"/>
        <v>216534</v>
      </c>
      <c r="J10" s="404">
        <v>5</v>
      </c>
      <c r="K10" s="353">
        <f t="shared" si="1"/>
        <v>8300470</v>
      </c>
    </row>
    <row r="11" spans="1:12" x14ac:dyDescent="0.25">
      <c r="A11" s="348"/>
      <c r="B11" s="349" t="s">
        <v>138</v>
      </c>
      <c r="C11" s="350"/>
      <c r="D11" s="351">
        <f>Don_gia_PA!G3</f>
        <v>1138860</v>
      </c>
      <c r="E11" s="352">
        <f>E9</f>
        <v>102000</v>
      </c>
      <c r="F11" s="352">
        <f>Don_gia_PA!G14</f>
        <v>51240</v>
      </c>
      <c r="G11" s="352">
        <f>Don_gia_PA!G20</f>
        <v>160000</v>
      </c>
      <c r="H11" s="353">
        <f t="shared" si="2"/>
        <v>1452100</v>
      </c>
      <c r="I11" s="353">
        <f t="shared" si="0"/>
        <v>217815</v>
      </c>
      <c r="J11" s="404">
        <v>5</v>
      </c>
      <c r="K11" s="353">
        <f t="shared" si="1"/>
        <v>8349575</v>
      </c>
    </row>
    <row r="12" spans="1:12" x14ac:dyDescent="0.25">
      <c r="A12" s="348"/>
      <c r="B12" s="349" t="s">
        <v>139</v>
      </c>
      <c r="C12" s="350"/>
      <c r="D12" s="351">
        <f>Don_gia_PA!G3</f>
        <v>1138860</v>
      </c>
      <c r="E12" s="352">
        <f>E6</f>
        <v>102000</v>
      </c>
      <c r="F12" s="352">
        <f>Don_gia_PA!G15</f>
        <v>64050</v>
      </c>
      <c r="G12" s="352">
        <f>Don_gia_PA!G19</f>
        <v>200000</v>
      </c>
      <c r="H12" s="353">
        <f t="shared" si="2"/>
        <v>1504910</v>
      </c>
      <c r="I12" s="353">
        <f t="shared" si="0"/>
        <v>225736.5</v>
      </c>
      <c r="J12" s="404">
        <v>5</v>
      </c>
      <c r="K12" s="353">
        <f t="shared" si="1"/>
        <v>8653232.5</v>
      </c>
    </row>
    <row r="13" spans="1:12" x14ac:dyDescent="0.25">
      <c r="A13" s="348"/>
      <c r="B13" s="349" t="s">
        <v>35</v>
      </c>
      <c r="C13" s="350"/>
      <c r="D13" s="351">
        <f>Don_gia_PA!G3</f>
        <v>1138860</v>
      </c>
      <c r="E13" s="352">
        <f>E6</f>
        <v>102000</v>
      </c>
      <c r="F13" s="352">
        <f>Don_gia_PA!G16</f>
        <v>70455</v>
      </c>
      <c r="G13" s="352">
        <f>Don_gia_PA!G19</f>
        <v>200000</v>
      </c>
      <c r="H13" s="353">
        <f t="shared" si="2"/>
        <v>1511315</v>
      </c>
      <c r="I13" s="353">
        <f t="shared" si="0"/>
        <v>226697.25</v>
      </c>
      <c r="J13" s="404">
        <v>5</v>
      </c>
      <c r="K13" s="353">
        <f t="shared" si="1"/>
        <v>8690061.25</v>
      </c>
    </row>
    <row r="14" spans="1:12" x14ac:dyDescent="0.25">
      <c r="A14" s="354"/>
      <c r="B14" s="355" t="s">
        <v>36</v>
      </c>
      <c r="C14" s="356"/>
      <c r="D14" s="357">
        <f>Don_gia_PA!G3</f>
        <v>1138860</v>
      </c>
      <c r="E14" s="358">
        <f>E6</f>
        <v>102000</v>
      </c>
      <c r="F14" s="358">
        <f>Don_gia_PA!G17</f>
        <v>83265</v>
      </c>
      <c r="G14" s="358">
        <f>Don_gia_PA!G19</f>
        <v>200000</v>
      </c>
      <c r="H14" s="359">
        <f t="shared" si="2"/>
        <v>1524125</v>
      </c>
      <c r="I14" s="359">
        <f t="shared" si="0"/>
        <v>228618.75</v>
      </c>
      <c r="J14" s="404">
        <v>5</v>
      </c>
      <c r="K14" s="359">
        <f t="shared" si="1"/>
        <v>8763718.75</v>
      </c>
    </row>
    <row r="15" spans="1:12" ht="33" x14ac:dyDescent="0.25">
      <c r="A15" s="360">
        <v>2</v>
      </c>
      <c r="B15" s="361" t="str">
        <f>Don_gia_PA!B21</f>
        <v>Thu thập, rà soát hồ sơ, cơ sở pháp lý để lập Phương án</v>
      </c>
      <c r="C15" s="98"/>
      <c r="D15" s="315">
        <f>Don_gia_PA!G22</f>
        <v>1708290</v>
      </c>
      <c r="E15" s="322">
        <f>Don_gia_PA!G23</f>
        <v>204500</v>
      </c>
      <c r="F15" s="136"/>
      <c r="G15" s="136"/>
      <c r="H15" s="362">
        <f t="shared" si="2"/>
        <v>1912790</v>
      </c>
      <c r="I15" s="362">
        <f t="shared" si="0"/>
        <v>286918.5</v>
      </c>
      <c r="J15" s="407">
        <v>5</v>
      </c>
      <c r="K15" s="362">
        <f t="shared" si="1"/>
        <v>10998542.5</v>
      </c>
    </row>
    <row r="16" spans="1:12" ht="33" x14ac:dyDescent="0.25">
      <c r="A16" s="360">
        <v>3</v>
      </c>
      <c r="B16" s="361" t="str">
        <f>Don_gia_PA!B28</f>
        <v>Dự thảo Phương án lấy ý kiến các sở, ngành liên quan</v>
      </c>
      <c r="C16" s="98"/>
      <c r="D16" s="315">
        <f>Don_gia_PA!G29</f>
        <v>5124870</v>
      </c>
      <c r="E16" s="322">
        <f>Don_gia_PA!G30</f>
        <v>549500</v>
      </c>
      <c r="F16" s="136"/>
      <c r="G16" s="136"/>
      <c r="H16" s="362">
        <f t="shared" si="2"/>
        <v>5674370</v>
      </c>
      <c r="I16" s="362">
        <f t="shared" si="0"/>
        <v>851155.5</v>
      </c>
      <c r="J16" s="407">
        <v>5</v>
      </c>
      <c r="K16" s="362">
        <f t="shared" si="1"/>
        <v>32627627.5</v>
      </c>
    </row>
    <row r="17" spans="1:11" ht="23.25" customHeight="1" x14ac:dyDescent="0.25">
      <c r="A17" s="360">
        <v>4</v>
      </c>
      <c r="B17" s="390" t="str">
        <f>Don_gia_PA!B35</f>
        <v>Tổng hợp ý kiến, hoàn chỉnh phương án</v>
      </c>
      <c r="C17" s="98"/>
      <c r="D17" s="315">
        <f>Don_gia_PA!G36</f>
        <v>3501225</v>
      </c>
      <c r="E17" s="322">
        <f>Don_gia_PA!G37</f>
        <v>292500</v>
      </c>
      <c r="F17" s="136"/>
      <c r="G17" s="136"/>
      <c r="H17" s="362">
        <f t="shared" si="2"/>
        <v>3793725</v>
      </c>
      <c r="I17" s="362">
        <f t="shared" si="0"/>
        <v>569058.75</v>
      </c>
      <c r="J17" s="407">
        <v>5</v>
      </c>
      <c r="K17" s="362">
        <f t="shared" si="1"/>
        <v>21813918.75</v>
      </c>
    </row>
    <row r="18" spans="1:11" ht="33" x14ac:dyDescent="0.25">
      <c r="A18" s="360">
        <v>5</v>
      </c>
      <c r="B18" s="361" t="str">
        <f>Don_gia_PA!B40</f>
        <v>Trình cấp thẩm quyền phê duyệt phương án</v>
      </c>
      <c r="C18" s="98"/>
      <c r="D18" s="315">
        <f>Don_gia_PA!G41</f>
        <v>569430</v>
      </c>
      <c r="E18" s="322">
        <f>Don_gia_PA!G42</f>
        <v>192500</v>
      </c>
      <c r="F18" s="136"/>
      <c r="G18" s="136"/>
      <c r="H18" s="362">
        <f t="shared" si="2"/>
        <v>761930</v>
      </c>
      <c r="I18" s="362">
        <f t="shared" si="0"/>
        <v>114289.5</v>
      </c>
      <c r="J18" s="407"/>
      <c r="K18" s="362">
        <f>(H18+I18)</f>
        <v>876219.5</v>
      </c>
    </row>
    <row r="19" spans="1:11" ht="32.25" customHeight="1" x14ac:dyDescent="0.25">
      <c r="A19" s="101">
        <v>6</v>
      </c>
      <c r="B19" s="390" t="str">
        <f>Don_gia_thanh!B45</f>
        <v>Chuẩn bị hồ sơ đấu giá quyền sử dụng đất</v>
      </c>
      <c r="C19" s="101" t="s">
        <v>44</v>
      </c>
      <c r="D19" s="363">
        <f>Don_gia_thanh!G46</f>
        <v>3529440</v>
      </c>
      <c r="E19" s="362">
        <f>Don_gia_thanh!G47</f>
        <v>295000</v>
      </c>
      <c r="F19" s="364"/>
      <c r="G19" s="364"/>
      <c r="H19" s="362">
        <f>SUM(D19:G19)</f>
        <v>3824440</v>
      </c>
      <c r="I19" s="362">
        <f t="shared" si="0"/>
        <v>573666</v>
      </c>
      <c r="J19" s="407">
        <v>5</v>
      </c>
      <c r="K19" s="362">
        <f>(H19+I19)*J19</f>
        <v>21990530</v>
      </c>
    </row>
    <row r="20" spans="1:11" ht="34.5" customHeight="1" x14ac:dyDescent="0.25">
      <c r="A20" s="101">
        <v>7</v>
      </c>
      <c r="B20" s="361" t="str">
        <f>Don_gia_thanh!B51</f>
        <v>Trình cơ quan có thẩm quyền quyết định đấu giá quyền sử dụng đất.</v>
      </c>
      <c r="C20" s="101" t="s">
        <v>44</v>
      </c>
      <c r="D20" s="363">
        <f>Don_gia_thanh!G52</f>
        <v>597645</v>
      </c>
      <c r="E20" s="362">
        <f>Don_gia_thanh!G53</f>
        <v>75500</v>
      </c>
      <c r="F20" s="365"/>
      <c r="G20" s="365"/>
      <c r="H20" s="362">
        <f t="shared" ref="H20:H45" si="3">SUM(D20:G20)</f>
        <v>673145</v>
      </c>
      <c r="I20" s="362">
        <f t="shared" si="0"/>
        <v>100971.75</v>
      </c>
      <c r="J20" s="407"/>
      <c r="K20" s="362">
        <f>(H20+I20)</f>
        <v>774116.75</v>
      </c>
    </row>
    <row r="21" spans="1:11" ht="51.75" customHeight="1" x14ac:dyDescent="0.25">
      <c r="A21" s="101">
        <v>8</v>
      </c>
      <c r="B21" s="238" t="str">
        <f>Don_gia_thanh!B56</f>
        <v>Tổ chức thực hiện xác định giá khởi điểm trình cấp có thẩm quyền phê duyệt giá khởi điểm của thửa đất đấu giá</v>
      </c>
      <c r="C21" s="101" t="s">
        <v>44</v>
      </c>
      <c r="D21" s="363">
        <f>Don_gia_thanh!G57</f>
        <v>1138860</v>
      </c>
      <c r="E21" s="362">
        <f>Don_gia_thanh!G58</f>
        <v>290000</v>
      </c>
      <c r="F21" s="366"/>
      <c r="G21" s="365"/>
      <c r="H21" s="362">
        <f t="shared" si="3"/>
        <v>1428860</v>
      </c>
      <c r="I21" s="362">
        <f t="shared" si="0"/>
        <v>214329</v>
      </c>
      <c r="J21" s="407"/>
      <c r="K21" s="362">
        <f>H21+I21</f>
        <v>1643189</v>
      </c>
    </row>
    <row r="22" spans="1:11" ht="49.5" x14ac:dyDescent="0.25">
      <c r="A22" s="101">
        <v>9</v>
      </c>
      <c r="B22" s="238" t="str">
        <f>Don_gia_thanh!B62</f>
        <v>Trình cơ quan có thẩm quyền quyết định bước giá để tổ chức đấu giá quyền sử dụng đất theo quy định.</v>
      </c>
      <c r="C22" s="101"/>
      <c r="D22" s="363">
        <f>Don_gia_thanh!G63</f>
        <v>6833160</v>
      </c>
      <c r="E22" s="362">
        <f>Don_gia_thanh!G64</f>
        <v>290000</v>
      </c>
      <c r="F22" s="366"/>
      <c r="G22" s="365"/>
      <c r="H22" s="362">
        <f t="shared" si="3"/>
        <v>7123160</v>
      </c>
      <c r="I22" s="362">
        <f t="shared" si="0"/>
        <v>1068474</v>
      </c>
      <c r="J22" s="407"/>
      <c r="K22" s="362">
        <f>H22+I22</f>
        <v>8191634</v>
      </c>
    </row>
    <row r="23" spans="1:11" ht="49.5" x14ac:dyDescent="0.25">
      <c r="A23" s="101">
        <v>10</v>
      </c>
      <c r="B23" s="238" t="str">
        <f>Don_gia_thanh!B69</f>
        <v>Lựa chọn tổ chức đấu giá tài sản theo Thông tư số 02/2022/TT-BTP ngày 08/02/2022 của Bộ trưởng Bộ Tư pháp.</v>
      </c>
      <c r="C23" s="101"/>
      <c r="D23" s="367"/>
      <c r="E23" s="366"/>
      <c r="F23" s="366"/>
      <c r="G23" s="366"/>
      <c r="H23" s="362"/>
      <c r="I23" s="362"/>
      <c r="J23" s="407"/>
      <c r="K23" s="362"/>
    </row>
    <row r="24" spans="1:11" ht="51" customHeight="1" x14ac:dyDescent="0.25">
      <c r="A24" s="368" t="s">
        <v>173</v>
      </c>
      <c r="B24" s="239" t="str">
        <f>Don_gia_thanh!B70</f>
        <v xml:space="preserve">Lập hồ sơ, ban hành khung tiêu chí và thông báo công khai tiêu chí lựa chọn tổ chức đấu giá tài sản </v>
      </c>
      <c r="C24" s="368"/>
      <c r="D24" s="369">
        <f>Don_gia_thanh!G71</f>
        <v>3416580</v>
      </c>
      <c r="E24" s="370">
        <f>Don_gia_thanh!G72</f>
        <v>502500</v>
      </c>
      <c r="F24" s="371"/>
      <c r="G24" s="371"/>
      <c r="H24" s="370">
        <f t="shared" si="3"/>
        <v>3919080</v>
      </c>
      <c r="I24" s="370">
        <f>H24*15%</f>
        <v>587862</v>
      </c>
      <c r="J24" s="408">
        <v>5</v>
      </c>
      <c r="K24" s="370">
        <f>(H24+I24)*J24</f>
        <v>22534710</v>
      </c>
    </row>
    <row r="25" spans="1:11" ht="37.5" customHeight="1" x14ac:dyDescent="0.25">
      <c r="A25" s="368" t="s">
        <v>175</v>
      </c>
      <c r="B25" s="239" t="str">
        <f>Don_gia_thanh!B76</f>
        <v>Đánh giá, chấm điểm theo tiêu chí lựa chọn tổ chức đấu giá tài sản</v>
      </c>
      <c r="C25" s="368"/>
      <c r="D25" s="369">
        <f>Don_gia_thanh!G77</f>
        <v>4270725</v>
      </c>
      <c r="E25" s="370">
        <f>Don_gia_thanh!G78</f>
        <v>212500</v>
      </c>
      <c r="F25" s="371"/>
      <c r="G25" s="371"/>
      <c r="H25" s="370">
        <f t="shared" si="3"/>
        <v>4483225</v>
      </c>
      <c r="I25" s="370">
        <f>H25*15%</f>
        <v>672483.75</v>
      </c>
      <c r="J25" s="408">
        <v>5</v>
      </c>
      <c r="K25" s="370">
        <f>(H25+I25)*J25</f>
        <v>25778543.75</v>
      </c>
    </row>
    <row r="26" spans="1:11" ht="33" x14ac:dyDescent="0.25">
      <c r="A26" s="368" t="s">
        <v>176</v>
      </c>
      <c r="B26" s="239" t="str">
        <f>Don_gia_thanh!B82</f>
        <v>Thông báo kết quả lựa chọn tổ chức đấu giá tài sản</v>
      </c>
      <c r="C26" s="368"/>
      <c r="D26" s="369">
        <f>Don_gia_thanh!G83</f>
        <v>597645</v>
      </c>
      <c r="E26" s="370">
        <f>Don_gia_thanh!G84</f>
        <v>100000</v>
      </c>
      <c r="F26" s="371"/>
      <c r="G26" s="371"/>
      <c r="H26" s="370">
        <f t="shared" si="3"/>
        <v>697645</v>
      </c>
      <c r="I26" s="370">
        <f>H26*15%</f>
        <v>104646.75</v>
      </c>
      <c r="J26" s="408">
        <v>5</v>
      </c>
      <c r="K26" s="370">
        <f>(H26+I26)*J26</f>
        <v>4011458.75</v>
      </c>
    </row>
    <row r="27" spans="1:11" ht="33" x14ac:dyDescent="0.25">
      <c r="A27" s="368" t="s">
        <v>177</v>
      </c>
      <c r="B27" s="239" t="str">
        <f>Don_gia_thanh!B87</f>
        <v>Ký hợp đồng với đơn vị thực hiện cuộc bán đấu giá theo quy định</v>
      </c>
      <c r="C27" s="368"/>
      <c r="D27" s="369">
        <f>Don_gia_thanh!G88</f>
        <v>1764720</v>
      </c>
      <c r="E27" s="370">
        <f>Don_gia_thanh!G89</f>
        <v>295000</v>
      </c>
      <c r="F27" s="371"/>
      <c r="G27" s="371"/>
      <c r="H27" s="370">
        <f t="shared" si="3"/>
        <v>2059720</v>
      </c>
      <c r="I27" s="370">
        <f>H27*15%</f>
        <v>308958</v>
      </c>
      <c r="J27" s="408">
        <v>5</v>
      </c>
      <c r="K27" s="370">
        <f>(H27+I27)*J27</f>
        <v>11843390</v>
      </c>
    </row>
    <row r="28" spans="1:11" ht="148.5" x14ac:dyDescent="0.25">
      <c r="A28" s="101">
        <v>11</v>
      </c>
      <c r="B28" s="238" t="str">
        <f>Don_gia_thanh!B93</f>
        <v>Phối hợp đơn vị tổ chức đấu giá tài sản thông báo về việc bán đấu giá tài sản; Ban hành Quy chế cuộc bán đấu giá; Thực hiện việc niêm yết đấu giá tài sản và đăng tải thông tin về việc đấu giá tài sản theo quy định; Xét hồ sơ đăng ký tham gia đấu giá; Tổ chức đấu giá quyền sử dụng đất theo quy định; Báo cáo về kết quả thực hiện đấu giá.</v>
      </c>
      <c r="C28" s="101"/>
      <c r="D28" s="367"/>
      <c r="E28" s="366"/>
      <c r="F28" s="366"/>
      <c r="G28" s="366"/>
      <c r="H28" s="362"/>
      <c r="I28" s="362"/>
      <c r="J28" s="407"/>
      <c r="K28" s="362"/>
    </row>
    <row r="29" spans="1:11" ht="100.5" customHeight="1" x14ac:dyDescent="0.25">
      <c r="A29" s="368" t="s">
        <v>178</v>
      </c>
      <c r="B29" s="239" t="str">
        <f>Don_gia_thanh!B94</f>
        <v>Phối hợp đơn vị tổ chức đấu giá tài sản thông báo về việc bán đấu giá tài sản;Ban hành Quy chế cuộc bán đấu giá; Thực hiện việc niêm yết đấu giá tài sản và đăng tải thông tin về việc đấu giá tài sản theo quy định</v>
      </c>
      <c r="C29" s="368"/>
      <c r="D29" s="369">
        <f>Don_gia_thanh!G94</f>
        <v>3416580</v>
      </c>
      <c r="E29" s="371"/>
      <c r="F29" s="371"/>
      <c r="G29" s="371"/>
      <c r="H29" s="370">
        <f t="shared" si="3"/>
        <v>3416580</v>
      </c>
      <c r="I29" s="370">
        <f>H29*15%</f>
        <v>512487</v>
      </c>
      <c r="J29" s="408">
        <v>5</v>
      </c>
      <c r="K29" s="362">
        <f>(H29+I29)*J29</f>
        <v>19645335</v>
      </c>
    </row>
    <row r="30" spans="1:11" ht="20.25" customHeight="1" x14ac:dyDescent="0.25">
      <c r="A30" s="368" t="s">
        <v>174</v>
      </c>
      <c r="B30" s="239" t="str">
        <f>Don_gia_thanh!B95</f>
        <v xml:space="preserve"> Xét hồ sơ đăng ký tham gia đấu giá</v>
      </c>
      <c r="C30" s="368"/>
      <c r="D30" s="372">
        <f>Don_gia_thanh!G96</f>
        <v>4555440</v>
      </c>
      <c r="E30" s="371">
        <f>Don_gia_thanh!G97</f>
        <v>202500</v>
      </c>
      <c r="F30" s="371"/>
      <c r="G30" s="371"/>
      <c r="H30" s="370">
        <f t="shared" si="3"/>
        <v>4757940</v>
      </c>
      <c r="I30" s="370">
        <f>H30*15%</f>
        <v>713691</v>
      </c>
      <c r="J30" s="408">
        <v>5</v>
      </c>
      <c r="K30" s="362">
        <f>(H30+I30)*J30</f>
        <v>27358155</v>
      </c>
    </row>
    <row r="31" spans="1:11" ht="33" x14ac:dyDescent="0.25">
      <c r="A31" s="428" t="s">
        <v>179</v>
      </c>
      <c r="B31" s="429" t="str">
        <f>Don_gia_thanh!B101</f>
        <v>Tổ chức đấu giá quyền sử dụng đất theo quy định</v>
      </c>
      <c r="C31" s="428"/>
      <c r="D31" s="430"/>
      <c r="E31" s="431"/>
      <c r="F31" s="431"/>
      <c r="G31" s="431"/>
      <c r="H31" s="432"/>
      <c r="I31" s="432"/>
      <c r="J31" s="433"/>
      <c r="K31" s="434"/>
    </row>
    <row r="32" spans="1:11" x14ac:dyDescent="0.25">
      <c r="A32" s="378"/>
      <c r="B32" s="379" t="s">
        <v>30</v>
      </c>
      <c r="C32" s="378"/>
      <c r="D32" s="380">
        <f>Don_gia_thanh!G102</f>
        <v>882360</v>
      </c>
      <c r="E32" s="381"/>
      <c r="F32" s="381">
        <f>Don_gia_thanh!G104</f>
        <v>0</v>
      </c>
      <c r="G32" s="381"/>
      <c r="H32" s="337">
        <f t="shared" si="3"/>
        <v>882360</v>
      </c>
      <c r="I32" s="337">
        <f t="shared" ref="I32:I45" si="4">H32*15%</f>
        <v>132354</v>
      </c>
      <c r="J32" s="417">
        <v>5</v>
      </c>
      <c r="K32" s="353">
        <f t="shared" ref="K32:K40" si="5">(H32+I32)*J32</f>
        <v>5073570</v>
      </c>
    </row>
    <row r="33" spans="1:14" x14ac:dyDescent="0.25">
      <c r="A33" s="378"/>
      <c r="B33" s="379" t="s">
        <v>31</v>
      </c>
      <c r="C33" s="378"/>
      <c r="D33" s="380">
        <f>Don_gia_thanh!G102</f>
        <v>882360</v>
      </c>
      <c r="E33" s="381"/>
      <c r="F33" s="381">
        <f>Don_gia_thanh!G105</f>
        <v>21350</v>
      </c>
      <c r="G33" s="381">
        <f>Don_gia_thanh!G115</f>
        <v>80000</v>
      </c>
      <c r="H33" s="337">
        <f t="shared" si="3"/>
        <v>983710</v>
      </c>
      <c r="I33" s="337">
        <f t="shared" si="4"/>
        <v>147556.5</v>
      </c>
      <c r="J33" s="417">
        <v>5</v>
      </c>
      <c r="K33" s="353">
        <f t="shared" si="5"/>
        <v>5656332.5</v>
      </c>
    </row>
    <row r="34" spans="1:14" x14ac:dyDescent="0.25">
      <c r="A34" s="378"/>
      <c r="B34" s="379" t="s">
        <v>32</v>
      </c>
      <c r="C34" s="378"/>
      <c r="D34" s="380">
        <f>Don_gia_thanh!G102</f>
        <v>882360</v>
      </c>
      <c r="E34" s="381"/>
      <c r="F34" s="381">
        <f>Don_gia_thanh!G106</f>
        <v>29890</v>
      </c>
      <c r="G34" s="381">
        <f>Don_gia_thanh!G115</f>
        <v>80000</v>
      </c>
      <c r="H34" s="337">
        <f t="shared" si="3"/>
        <v>992250</v>
      </c>
      <c r="I34" s="337">
        <f t="shared" si="4"/>
        <v>148837.5</v>
      </c>
      <c r="J34" s="417">
        <v>5</v>
      </c>
      <c r="K34" s="353">
        <f t="shared" si="5"/>
        <v>5705437.5</v>
      </c>
    </row>
    <row r="35" spans="1:14" x14ac:dyDescent="0.25">
      <c r="A35" s="378"/>
      <c r="B35" s="379" t="s">
        <v>172</v>
      </c>
      <c r="C35" s="378"/>
      <c r="D35" s="380">
        <f>Don_gia_thanh!G102</f>
        <v>882360</v>
      </c>
      <c r="E35" s="381"/>
      <c r="F35" s="381">
        <f>Don_gia_thanh!G107</f>
        <v>40565</v>
      </c>
      <c r="G35" s="381">
        <f>Don_gia_thanh!G115</f>
        <v>80000</v>
      </c>
      <c r="H35" s="337">
        <f t="shared" si="3"/>
        <v>1002925</v>
      </c>
      <c r="I35" s="337">
        <f t="shared" si="4"/>
        <v>150438.75</v>
      </c>
      <c r="J35" s="417">
        <v>5</v>
      </c>
      <c r="K35" s="353">
        <f t="shared" si="5"/>
        <v>5766818.75</v>
      </c>
    </row>
    <row r="36" spans="1:14" x14ac:dyDescent="0.25">
      <c r="A36" s="378"/>
      <c r="B36" s="379" t="s">
        <v>171</v>
      </c>
      <c r="C36" s="378"/>
      <c r="D36" s="380">
        <f>Don_gia_thanh!G102</f>
        <v>882360</v>
      </c>
      <c r="E36" s="381"/>
      <c r="F36" s="381">
        <f>Don_gia_thanh!G108</f>
        <v>42700</v>
      </c>
      <c r="G36" s="381">
        <f>Don_gia_thanh!G115</f>
        <v>80000</v>
      </c>
      <c r="H36" s="337">
        <f t="shared" si="3"/>
        <v>1005060</v>
      </c>
      <c r="I36" s="337">
        <f t="shared" si="4"/>
        <v>150759</v>
      </c>
      <c r="J36" s="417">
        <v>5</v>
      </c>
      <c r="K36" s="353">
        <f t="shared" si="5"/>
        <v>5779095</v>
      </c>
    </row>
    <row r="37" spans="1:14" x14ac:dyDescent="0.25">
      <c r="A37" s="378"/>
      <c r="B37" s="379" t="s">
        <v>138</v>
      </c>
      <c r="C37" s="378"/>
      <c r="D37" s="380">
        <f>Don_gia_thanh!G102</f>
        <v>882360</v>
      </c>
      <c r="E37" s="381"/>
      <c r="F37" s="381">
        <f>Don_gia_thanh!G109</f>
        <v>51240</v>
      </c>
      <c r="G37" s="381">
        <f>Don_gia_thanh!G115</f>
        <v>80000</v>
      </c>
      <c r="H37" s="337">
        <f t="shared" si="3"/>
        <v>1013600</v>
      </c>
      <c r="I37" s="337">
        <f t="shared" si="4"/>
        <v>152040</v>
      </c>
      <c r="J37" s="417">
        <v>5</v>
      </c>
      <c r="K37" s="353">
        <f t="shared" si="5"/>
        <v>5828200</v>
      </c>
    </row>
    <row r="38" spans="1:14" x14ac:dyDescent="0.25">
      <c r="A38" s="378"/>
      <c r="B38" s="379" t="s">
        <v>139</v>
      </c>
      <c r="C38" s="378"/>
      <c r="D38" s="380">
        <f>Don_gia_thanh!G102</f>
        <v>882360</v>
      </c>
      <c r="E38" s="381"/>
      <c r="F38" s="381">
        <f>Don_gia_thanh!G110</f>
        <v>64050</v>
      </c>
      <c r="G38" s="381">
        <f>Don_gia_thanh!G114</f>
        <v>100000</v>
      </c>
      <c r="H38" s="337">
        <f t="shared" si="3"/>
        <v>1046410</v>
      </c>
      <c r="I38" s="337">
        <f t="shared" si="4"/>
        <v>156961.5</v>
      </c>
      <c r="J38" s="417">
        <v>5</v>
      </c>
      <c r="K38" s="353">
        <f t="shared" si="5"/>
        <v>6016857.5</v>
      </c>
    </row>
    <row r="39" spans="1:14" x14ac:dyDescent="0.25">
      <c r="A39" s="378"/>
      <c r="B39" s="379" t="s">
        <v>35</v>
      </c>
      <c r="C39" s="378"/>
      <c r="D39" s="380">
        <f>Don_gia_thanh!G102</f>
        <v>882360</v>
      </c>
      <c r="E39" s="381"/>
      <c r="F39" s="381">
        <f>Don_gia_thanh!G111</f>
        <v>70455</v>
      </c>
      <c r="G39" s="381">
        <f>Don_gia_thanh!G114</f>
        <v>100000</v>
      </c>
      <c r="H39" s="337">
        <f t="shared" si="3"/>
        <v>1052815</v>
      </c>
      <c r="I39" s="337">
        <f t="shared" si="4"/>
        <v>157922.25</v>
      </c>
      <c r="J39" s="417">
        <v>5</v>
      </c>
      <c r="K39" s="353">
        <f t="shared" si="5"/>
        <v>6053686.25</v>
      </c>
    </row>
    <row r="40" spans="1:14" x14ac:dyDescent="0.25">
      <c r="A40" s="382"/>
      <c r="B40" s="383" t="s">
        <v>36</v>
      </c>
      <c r="C40" s="382"/>
      <c r="D40" s="384">
        <f>Don_gia_thanh!G102</f>
        <v>882360</v>
      </c>
      <c r="E40" s="385"/>
      <c r="F40" s="385">
        <f>Don_gia_thanh!G112</f>
        <v>83265</v>
      </c>
      <c r="G40" s="385">
        <f>Don_gia_thanh!G114</f>
        <v>100000</v>
      </c>
      <c r="H40" s="418">
        <f t="shared" si="3"/>
        <v>1065625</v>
      </c>
      <c r="I40" s="418">
        <f t="shared" si="4"/>
        <v>159843.75</v>
      </c>
      <c r="J40" s="417">
        <v>5</v>
      </c>
      <c r="K40" s="359">
        <f t="shared" si="5"/>
        <v>6127343.75</v>
      </c>
    </row>
    <row r="41" spans="1:14" ht="22.5" customHeight="1" x14ac:dyDescent="0.25">
      <c r="A41" s="420">
        <v>12</v>
      </c>
      <c r="B41" s="339" t="str">
        <f>Don_gia_thanh!B116</f>
        <v>Báo cáo về kết quả thực hiện đấu giá</v>
      </c>
      <c r="C41" s="101"/>
      <c r="D41" s="363">
        <f>Don_gia_thanh!G117</f>
        <v>1792935</v>
      </c>
      <c r="E41" s="362">
        <f>Don_gia_thanh!G118</f>
        <v>192500</v>
      </c>
      <c r="F41" s="366"/>
      <c r="G41" s="366"/>
      <c r="H41" s="362">
        <f t="shared" si="3"/>
        <v>1985435</v>
      </c>
      <c r="I41" s="362">
        <f t="shared" si="4"/>
        <v>297815.25</v>
      </c>
      <c r="J41" s="407"/>
      <c r="K41" s="362">
        <f>H41+I41</f>
        <v>2283250.25</v>
      </c>
    </row>
    <row r="42" spans="1:14" ht="54" customHeight="1" x14ac:dyDescent="0.25">
      <c r="A42" s="101">
        <v>13</v>
      </c>
      <c r="B42" s="238" t="str">
        <f>Don_gia_thanh!B121</f>
        <v>Tổ chức ký hợp đồng mua bán tài sản đấu giá theo quy định tại Điều 46 Luật Đấu giá tài sản ngày 17/11/2016</v>
      </c>
      <c r="C42" s="101"/>
      <c r="D42" s="363">
        <f>Don_gia_thanh!G122</f>
        <v>1708290</v>
      </c>
      <c r="E42" s="363">
        <f>Don_gia_thanh!G123</f>
        <v>200000</v>
      </c>
      <c r="F42" s="366"/>
      <c r="G42" s="366"/>
      <c r="H42" s="362">
        <f t="shared" si="3"/>
        <v>1908290</v>
      </c>
      <c r="I42" s="362">
        <f t="shared" si="4"/>
        <v>286243.5</v>
      </c>
      <c r="J42" s="407"/>
      <c r="K42" s="362">
        <f>H42+I42</f>
        <v>2194533.5</v>
      </c>
    </row>
    <row r="43" spans="1:14" ht="33.75" customHeight="1" x14ac:dyDescent="0.25">
      <c r="A43" s="101">
        <v>14</v>
      </c>
      <c r="B43" s="238" t="str">
        <f>Don_gia_thanh!B126</f>
        <v>Trình cơ quan có thẩm quyền phê duyệt kết quả đấu giá đấu giá quyền sử dụng đất</v>
      </c>
      <c r="C43" s="101"/>
      <c r="D43" s="363">
        <f>Don_gia_thanh!G127</f>
        <v>1792935</v>
      </c>
      <c r="E43" s="363">
        <f>Don_gia_thanh!G128</f>
        <v>192500</v>
      </c>
      <c r="F43" s="366"/>
      <c r="G43" s="366"/>
      <c r="H43" s="362">
        <f t="shared" si="3"/>
        <v>1985435</v>
      </c>
      <c r="I43" s="362">
        <f t="shared" si="4"/>
        <v>297815.25</v>
      </c>
      <c r="J43" s="407"/>
      <c r="K43" s="362">
        <f>H43+I43</f>
        <v>2283250.25</v>
      </c>
    </row>
    <row r="44" spans="1:14" ht="21" customHeight="1" x14ac:dyDescent="0.25">
      <c r="A44" s="101">
        <v>15</v>
      </c>
      <c r="B44" s="238" t="str">
        <f>Don_gia_thanh!B131</f>
        <v>Nộp tiền sử dụng đất, tiền thuê đất</v>
      </c>
      <c r="C44" s="101"/>
      <c r="D44" s="363">
        <f>Don_gia_thanh!G132</f>
        <v>882360</v>
      </c>
      <c r="E44" s="363">
        <f>Don_gia_thanh!G133</f>
        <v>83000</v>
      </c>
      <c r="F44" s="366"/>
      <c r="G44" s="366"/>
      <c r="H44" s="362">
        <f t="shared" si="3"/>
        <v>965360</v>
      </c>
      <c r="I44" s="362">
        <f t="shared" si="4"/>
        <v>144804</v>
      </c>
      <c r="J44" s="407"/>
      <c r="K44" s="362">
        <f>H44+I44</f>
        <v>1110164</v>
      </c>
      <c r="L44" s="340" t="s">
        <v>181</v>
      </c>
      <c r="M44" s="340" t="s">
        <v>182</v>
      </c>
    </row>
    <row r="45" spans="1:14" ht="49.5" x14ac:dyDescent="0.25">
      <c r="A45" s="101">
        <v>16</v>
      </c>
      <c r="B45" s="238" t="str">
        <f>Don_gia_thanh!B136</f>
        <v>Cấp giấy chứng nhận quyền sử dụng đất, giao đất trên thực địa cho người trúng đấu giá</v>
      </c>
      <c r="C45" s="101"/>
      <c r="D45" s="363">
        <f>Don_gia_thanh!G136</f>
        <v>284715</v>
      </c>
      <c r="E45" s="363"/>
      <c r="F45" s="366"/>
      <c r="G45" s="366"/>
      <c r="H45" s="362">
        <f t="shared" si="3"/>
        <v>284715</v>
      </c>
      <c r="I45" s="362">
        <f t="shared" si="4"/>
        <v>42707.25</v>
      </c>
      <c r="J45" s="407"/>
      <c r="K45" s="362">
        <f>H45+I45</f>
        <v>327422.25</v>
      </c>
      <c r="L45" s="391">
        <f>K6+K15+K16+K17+K18+K19+K20+K21+K22+K24+K25+K26+K27+K29+K30+K32+K41+K42+K43+K44+K45</f>
        <v>230494505.75</v>
      </c>
      <c r="M45" s="391">
        <f>K7+K15+K16+K17+K18+K19+K20+K21+K22+K24+K25+K26+K27+K29+K30+K33+K41+K42+K43+K44+K45</f>
        <v>232120030.75</v>
      </c>
      <c r="N45" s="391"/>
    </row>
    <row r="47" spans="1:14" x14ac:dyDescent="0.25">
      <c r="L47" s="386"/>
      <c r="M47" s="386"/>
    </row>
  </sheetData>
  <mergeCells count="2">
    <mergeCell ref="A1:K1"/>
    <mergeCell ref="A2:K2"/>
  </mergeCells>
  <pageMargins left="0.56000000000000005" right="0.2" top="0.36" bottom="0.38" header="0.21" footer="0.17"/>
  <pageSetup paperSize="9"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workbookViewId="0">
      <selection activeCell="E12" sqref="E12"/>
    </sheetView>
  </sheetViews>
  <sheetFormatPr defaultRowHeight="15.75" x14ac:dyDescent="0.25"/>
  <cols>
    <col min="1" max="1" width="4.75" style="69" bestFit="1" customWidth="1"/>
    <col min="2" max="2" width="32.375" customWidth="1"/>
    <col min="3" max="3" width="25.875" customWidth="1"/>
    <col min="4" max="4" width="11.875" customWidth="1"/>
    <col min="5" max="5" width="9" style="69"/>
  </cols>
  <sheetData>
    <row r="1" spans="1:6" ht="16.5" x14ac:dyDescent="0.25">
      <c r="A1" s="676" t="s">
        <v>0</v>
      </c>
      <c r="B1" s="676" t="s">
        <v>1</v>
      </c>
      <c r="C1" s="667" t="s">
        <v>16</v>
      </c>
      <c r="D1" s="667" t="s">
        <v>4</v>
      </c>
      <c r="E1" s="667" t="s">
        <v>24</v>
      </c>
      <c r="F1" s="667"/>
    </row>
    <row r="2" spans="1:6" ht="34.5" customHeight="1" x14ac:dyDescent="0.25">
      <c r="A2" s="676"/>
      <c r="B2" s="676"/>
      <c r="C2" s="667"/>
      <c r="D2" s="667"/>
      <c r="E2" s="89" t="s">
        <v>2</v>
      </c>
      <c r="F2" s="89" t="s">
        <v>3</v>
      </c>
    </row>
    <row r="3" spans="1:6" ht="33" x14ac:dyDescent="0.25">
      <c r="A3" s="674">
        <v>1</v>
      </c>
      <c r="B3" s="92" t="s">
        <v>72</v>
      </c>
      <c r="C3" s="42" t="s">
        <v>149</v>
      </c>
      <c r="D3" s="72" t="s">
        <v>65</v>
      </c>
      <c r="E3" s="72">
        <v>4</v>
      </c>
      <c r="F3" s="70"/>
    </row>
    <row r="4" spans="1:6" ht="16.5" x14ac:dyDescent="0.25">
      <c r="A4" s="675"/>
      <c r="B4" s="76"/>
      <c r="C4" s="30" t="s">
        <v>18</v>
      </c>
      <c r="D4" s="6"/>
      <c r="E4" s="6"/>
      <c r="F4" s="77"/>
    </row>
    <row r="5" spans="1:6" ht="16.5" x14ac:dyDescent="0.25">
      <c r="A5" s="675"/>
      <c r="B5" s="76"/>
      <c r="C5" s="8" t="s">
        <v>7</v>
      </c>
      <c r="D5" s="6" t="s">
        <v>20</v>
      </c>
      <c r="E5" s="9">
        <v>0.5</v>
      </c>
      <c r="F5" s="77"/>
    </row>
    <row r="6" spans="1:6" ht="16.5" x14ac:dyDescent="0.25">
      <c r="A6" s="675"/>
      <c r="B6" s="76"/>
      <c r="C6" s="10" t="s">
        <v>8</v>
      </c>
      <c r="D6" s="73" t="s">
        <v>21</v>
      </c>
      <c r="E6" s="6">
        <v>0.3</v>
      </c>
      <c r="F6" s="77"/>
    </row>
    <row r="7" spans="1:6" ht="16.5" x14ac:dyDescent="0.25">
      <c r="A7" s="675"/>
      <c r="B7" s="76"/>
      <c r="C7" s="14" t="s">
        <v>19</v>
      </c>
      <c r="D7" s="79" t="s">
        <v>21</v>
      </c>
      <c r="E7" s="6">
        <v>0.5</v>
      </c>
      <c r="F7" s="77"/>
    </row>
    <row r="8" spans="1:6" ht="30" customHeight="1" x14ac:dyDescent="0.25">
      <c r="A8" s="674">
        <v>2</v>
      </c>
      <c r="B8" s="71" t="s">
        <v>56</v>
      </c>
      <c r="C8" s="42" t="s">
        <v>150</v>
      </c>
      <c r="D8" s="72" t="s">
        <v>65</v>
      </c>
      <c r="E8" s="72">
        <v>1</v>
      </c>
      <c r="F8" s="70"/>
    </row>
    <row r="9" spans="1:6" ht="16.5" x14ac:dyDescent="0.25">
      <c r="A9" s="675"/>
      <c r="B9" s="81"/>
      <c r="C9" s="30" t="s">
        <v>18</v>
      </c>
      <c r="D9" s="6"/>
      <c r="E9" s="6"/>
      <c r="F9" s="77"/>
    </row>
    <row r="10" spans="1:6" ht="16.5" x14ac:dyDescent="0.25">
      <c r="A10" s="675"/>
      <c r="B10" s="81"/>
      <c r="C10" s="8" t="s">
        <v>7</v>
      </c>
      <c r="D10" s="6" t="s">
        <v>20</v>
      </c>
      <c r="E10" s="6">
        <v>0.1</v>
      </c>
      <c r="F10" s="77"/>
    </row>
    <row r="11" spans="1:6" ht="16.5" x14ac:dyDescent="0.25">
      <c r="A11" s="675"/>
      <c r="B11" s="81"/>
      <c r="C11" s="10" t="s">
        <v>8</v>
      </c>
      <c r="D11" s="73" t="s">
        <v>21</v>
      </c>
      <c r="E11" s="6">
        <v>0.08</v>
      </c>
      <c r="F11" s="77"/>
    </row>
    <row r="12" spans="1:6" ht="66" x14ac:dyDescent="0.25">
      <c r="A12" s="85">
        <v>3</v>
      </c>
      <c r="B12" s="290" t="s">
        <v>148</v>
      </c>
      <c r="C12" s="42" t="s">
        <v>151</v>
      </c>
      <c r="D12" s="72" t="s">
        <v>65</v>
      </c>
      <c r="E12" s="72">
        <v>1</v>
      </c>
      <c r="F12" s="70"/>
    </row>
    <row r="13" spans="1:6" ht="33" x14ac:dyDescent="0.25">
      <c r="A13" s="289">
        <v>4</v>
      </c>
      <c r="B13" s="690" t="s">
        <v>147</v>
      </c>
      <c r="C13" s="42" t="s">
        <v>151</v>
      </c>
      <c r="D13" s="72" t="s">
        <v>65</v>
      </c>
      <c r="E13" s="72">
        <v>6</v>
      </c>
      <c r="F13" s="70"/>
    </row>
    <row r="14" spans="1:6" ht="20.100000000000001" customHeight="1" x14ac:dyDescent="0.25">
      <c r="A14" s="289"/>
      <c r="B14" s="691"/>
      <c r="C14" s="30" t="s">
        <v>18</v>
      </c>
      <c r="D14" s="6"/>
      <c r="E14" s="6"/>
      <c r="F14" s="77"/>
    </row>
    <row r="15" spans="1:6" ht="20.100000000000001" customHeight="1" x14ac:dyDescent="0.25">
      <c r="A15" s="289"/>
      <c r="B15" s="691"/>
      <c r="C15" s="8" t="s">
        <v>7</v>
      </c>
      <c r="D15" s="6" t="s">
        <v>20</v>
      </c>
      <c r="E15" s="9">
        <v>0.4</v>
      </c>
      <c r="F15" s="77"/>
    </row>
    <row r="16" spans="1:6" ht="20.100000000000001" customHeight="1" x14ac:dyDescent="0.25">
      <c r="A16" s="289"/>
      <c r="B16" s="691"/>
      <c r="C16" s="10" t="s">
        <v>8</v>
      </c>
      <c r="D16" s="73" t="s">
        <v>21</v>
      </c>
      <c r="E16" s="6">
        <v>0.3</v>
      </c>
      <c r="F16" s="77"/>
    </row>
    <row r="17" spans="1:6" ht="20.100000000000001" customHeight="1" x14ac:dyDescent="0.25">
      <c r="A17" s="289"/>
      <c r="B17" s="691"/>
      <c r="C17" s="14" t="s">
        <v>19</v>
      </c>
      <c r="D17" s="79" t="s">
        <v>21</v>
      </c>
      <c r="E17" s="6">
        <v>1</v>
      </c>
      <c r="F17" s="80"/>
    </row>
    <row r="18" spans="1:6" ht="66" x14ac:dyDescent="0.25">
      <c r="A18" s="84">
        <v>5</v>
      </c>
      <c r="B18" s="56" t="s">
        <v>49</v>
      </c>
      <c r="C18" s="1"/>
      <c r="D18" s="74"/>
      <c r="E18" s="68"/>
      <c r="F18" s="1"/>
    </row>
    <row r="19" spans="1:6" ht="66" x14ac:dyDescent="0.25">
      <c r="A19" s="688" t="s">
        <v>58</v>
      </c>
      <c r="B19" s="75" t="s">
        <v>50</v>
      </c>
      <c r="C19" s="42" t="s">
        <v>149</v>
      </c>
      <c r="D19" s="72" t="s">
        <v>65</v>
      </c>
      <c r="E19" s="72">
        <v>4</v>
      </c>
      <c r="F19" s="70"/>
    </row>
    <row r="20" spans="1:6" ht="30" customHeight="1" x14ac:dyDescent="0.25">
      <c r="A20" s="689"/>
      <c r="B20" s="76"/>
      <c r="C20" s="30" t="s">
        <v>18</v>
      </c>
      <c r="D20" s="6"/>
      <c r="E20" s="6"/>
      <c r="F20" s="77"/>
    </row>
    <row r="21" spans="1:6" ht="16.5" x14ac:dyDescent="0.25">
      <c r="A21" s="689"/>
      <c r="B21" s="76"/>
      <c r="C21" s="8" t="s">
        <v>7</v>
      </c>
      <c r="D21" s="6" t="s">
        <v>20</v>
      </c>
      <c r="E21" s="206">
        <v>1</v>
      </c>
      <c r="F21" s="77"/>
    </row>
    <row r="22" spans="1:6" ht="16.5" x14ac:dyDescent="0.25">
      <c r="A22" s="689"/>
      <c r="B22" s="76"/>
      <c r="C22" s="10" t="s">
        <v>8</v>
      </c>
      <c r="D22" s="73" t="s">
        <v>21</v>
      </c>
      <c r="E22" s="6">
        <v>0.5</v>
      </c>
      <c r="F22" s="77"/>
    </row>
    <row r="23" spans="1:6" ht="16.5" x14ac:dyDescent="0.25">
      <c r="A23" s="689"/>
      <c r="B23" s="78"/>
      <c r="C23" s="82" t="s">
        <v>19</v>
      </c>
      <c r="D23" s="79" t="s">
        <v>21</v>
      </c>
      <c r="E23" s="6">
        <v>0.5</v>
      </c>
      <c r="F23" s="80"/>
    </row>
    <row r="24" spans="1:6" ht="49.5" x14ac:dyDescent="0.25">
      <c r="A24" s="688" t="s">
        <v>61</v>
      </c>
      <c r="B24" s="75" t="s">
        <v>51</v>
      </c>
      <c r="C24" s="42" t="s">
        <v>152</v>
      </c>
      <c r="D24" s="72" t="s">
        <v>65</v>
      </c>
      <c r="E24" s="72">
        <v>3</v>
      </c>
      <c r="F24" s="70"/>
    </row>
    <row r="25" spans="1:6" ht="16.5" x14ac:dyDescent="0.25">
      <c r="A25" s="689"/>
      <c r="B25" s="76"/>
      <c r="C25" s="30" t="s">
        <v>18</v>
      </c>
      <c r="D25" s="6"/>
      <c r="E25" s="6"/>
      <c r="F25" s="77"/>
    </row>
    <row r="26" spans="1:6" ht="16.5" x14ac:dyDescent="0.25">
      <c r="A26" s="689"/>
      <c r="B26" s="76"/>
      <c r="C26" s="8" t="s">
        <v>7</v>
      </c>
      <c r="D26" s="6" t="s">
        <v>20</v>
      </c>
      <c r="E26" s="6">
        <v>0.5</v>
      </c>
      <c r="F26" s="77"/>
    </row>
    <row r="27" spans="1:6" ht="16.5" x14ac:dyDescent="0.25">
      <c r="A27" s="689"/>
      <c r="B27" s="76"/>
      <c r="C27" s="10" t="s">
        <v>8</v>
      </c>
      <c r="D27" s="73" t="s">
        <v>21</v>
      </c>
      <c r="E27" s="6">
        <v>0.2</v>
      </c>
      <c r="F27" s="77"/>
    </row>
    <row r="28" spans="1:6" ht="16.5" x14ac:dyDescent="0.25">
      <c r="A28" s="689"/>
      <c r="B28" s="78"/>
      <c r="C28" s="14" t="s">
        <v>19</v>
      </c>
      <c r="D28" s="79" t="s">
        <v>21</v>
      </c>
      <c r="E28" s="12">
        <v>1</v>
      </c>
      <c r="F28" s="80"/>
    </row>
    <row r="29" spans="1:6" ht="30" customHeight="1" x14ac:dyDescent="0.25">
      <c r="A29" s="674" t="s">
        <v>62</v>
      </c>
      <c r="B29" s="75" t="s">
        <v>52</v>
      </c>
      <c r="C29" s="42" t="s">
        <v>37</v>
      </c>
      <c r="D29" s="72" t="s">
        <v>65</v>
      </c>
      <c r="E29" s="72">
        <v>1</v>
      </c>
      <c r="F29" s="70"/>
    </row>
    <row r="30" spans="1:6" ht="16.5" x14ac:dyDescent="0.25">
      <c r="A30" s="675"/>
      <c r="B30" s="76"/>
      <c r="C30" s="30" t="s">
        <v>18</v>
      </c>
      <c r="D30" s="6"/>
      <c r="E30" s="6"/>
      <c r="F30" s="77"/>
    </row>
    <row r="31" spans="1:6" ht="16.5" x14ac:dyDescent="0.25">
      <c r="A31" s="675"/>
      <c r="B31" s="76"/>
      <c r="C31" s="8" t="s">
        <v>7</v>
      </c>
      <c r="D31" s="6" t="s">
        <v>20</v>
      </c>
      <c r="E31" s="6">
        <v>0.2</v>
      </c>
      <c r="F31" s="77"/>
    </row>
    <row r="32" spans="1:6" ht="16.5" x14ac:dyDescent="0.25">
      <c r="A32" s="675"/>
      <c r="B32" s="78"/>
      <c r="C32" s="46" t="s">
        <v>8</v>
      </c>
      <c r="D32" s="79" t="s">
        <v>21</v>
      </c>
      <c r="E32" s="12">
        <v>0.1</v>
      </c>
      <c r="F32" s="80"/>
    </row>
    <row r="33" spans="1:6" ht="33" x14ac:dyDescent="0.25">
      <c r="A33" s="674" t="s">
        <v>63</v>
      </c>
      <c r="B33" s="75" t="s">
        <v>53</v>
      </c>
      <c r="C33" s="42" t="s">
        <v>153</v>
      </c>
      <c r="D33" s="72" t="s">
        <v>65</v>
      </c>
      <c r="E33" s="72">
        <v>2</v>
      </c>
      <c r="F33" s="70"/>
    </row>
    <row r="34" spans="1:6" ht="30" customHeight="1" x14ac:dyDescent="0.25">
      <c r="A34" s="675"/>
      <c r="B34" s="76"/>
      <c r="C34" s="30" t="s">
        <v>18</v>
      </c>
      <c r="D34" s="6"/>
      <c r="E34" s="6"/>
      <c r="F34" s="77"/>
    </row>
    <row r="35" spans="1:6" ht="16.5" x14ac:dyDescent="0.25">
      <c r="A35" s="675"/>
      <c r="B35" s="76"/>
      <c r="C35" s="8" t="s">
        <v>7</v>
      </c>
      <c r="D35" s="6" t="s">
        <v>20</v>
      </c>
      <c r="E35" s="6">
        <v>0.5</v>
      </c>
      <c r="F35" s="77"/>
    </row>
    <row r="36" spans="1:6" ht="16.5" x14ac:dyDescent="0.25">
      <c r="A36" s="675"/>
      <c r="B36" s="76"/>
      <c r="C36" s="10" t="s">
        <v>8</v>
      </c>
      <c r="D36" s="73" t="s">
        <v>21</v>
      </c>
      <c r="E36" s="6">
        <v>0.3</v>
      </c>
      <c r="F36" s="77"/>
    </row>
    <row r="37" spans="1:6" ht="16.5" x14ac:dyDescent="0.25">
      <c r="A37" s="675"/>
      <c r="B37" s="78"/>
      <c r="C37" s="82" t="s">
        <v>19</v>
      </c>
      <c r="D37" s="79" t="s">
        <v>21</v>
      </c>
      <c r="E37" s="12">
        <v>0.5</v>
      </c>
      <c r="F37" s="80"/>
    </row>
    <row r="38" spans="1:6" ht="165" x14ac:dyDescent="0.25">
      <c r="A38" s="84">
        <v>5</v>
      </c>
      <c r="B38" s="54" t="s">
        <v>54</v>
      </c>
      <c r="C38" s="1"/>
      <c r="D38" s="74"/>
      <c r="E38" s="68"/>
      <c r="F38" s="1"/>
    </row>
    <row r="39" spans="1:6" ht="115.5" x14ac:dyDescent="0.25">
      <c r="A39" s="90" t="s">
        <v>76</v>
      </c>
      <c r="B39" s="55" t="s">
        <v>66</v>
      </c>
      <c r="C39" s="42" t="s">
        <v>48</v>
      </c>
      <c r="D39" s="72" t="s">
        <v>65</v>
      </c>
      <c r="E39" s="72">
        <v>4</v>
      </c>
      <c r="F39" s="70"/>
    </row>
    <row r="40" spans="1:6" ht="49.5" x14ac:dyDescent="0.25">
      <c r="A40" s="688" t="s">
        <v>69</v>
      </c>
      <c r="B40" s="75" t="s">
        <v>67</v>
      </c>
      <c r="C40" s="42" t="s">
        <v>68</v>
      </c>
      <c r="D40" s="72" t="s">
        <v>65</v>
      </c>
      <c r="E40" s="72">
        <v>1</v>
      </c>
      <c r="F40" s="70"/>
    </row>
    <row r="41" spans="1:6" ht="16.5" x14ac:dyDescent="0.25">
      <c r="A41" s="689"/>
      <c r="B41" s="81"/>
      <c r="C41" s="30" t="s">
        <v>18</v>
      </c>
      <c r="D41" s="6"/>
      <c r="E41" s="6"/>
      <c r="F41" s="77"/>
    </row>
    <row r="42" spans="1:6" ht="16.5" x14ac:dyDescent="0.25">
      <c r="A42" s="689"/>
      <c r="B42" s="81"/>
      <c r="C42" s="8" t="s">
        <v>7</v>
      </c>
      <c r="D42" s="6" t="s">
        <v>20</v>
      </c>
      <c r="E42" s="6">
        <v>0.4</v>
      </c>
      <c r="F42" s="77"/>
    </row>
    <row r="43" spans="1:6" ht="16.5" x14ac:dyDescent="0.25">
      <c r="A43" s="689"/>
      <c r="B43" s="81"/>
      <c r="C43" s="10" t="s">
        <v>8</v>
      </c>
      <c r="D43" s="73" t="s">
        <v>21</v>
      </c>
      <c r="E43" s="6">
        <v>0.2</v>
      </c>
      <c r="F43" s="77"/>
    </row>
    <row r="44" spans="1:6" ht="16.5" x14ac:dyDescent="0.25">
      <c r="A44" s="689"/>
      <c r="B44" s="81"/>
      <c r="C44" s="66" t="s">
        <v>19</v>
      </c>
      <c r="D44" s="73" t="s">
        <v>21</v>
      </c>
      <c r="E44" s="6">
        <v>0.5</v>
      </c>
      <c r="F44" s="77"/>
    </row>
    <row r="45" spans="1:6" ht="33" x14ac:dyDescent="0.25">
      <c r="A45" s="93" t="s">
        <v>70</v>
      </c>
      <c r="B45" s="55" t="s">
        <v>129</v>
      </c>
      <c r="C45" s="83" t="s">
        <v>149</v>
      </c>
      <c r="D45" s="68" t="s">
        <v>65</v>
      </c>
      <c r="E45" s="68"/>
      <c r="F45" s="162">
        <v>1</v>
      </c>
    </row>
    <row r="46" spans="1:6" ht="33" customHeight="1" x14ac:dyDescent="0.25">
      <c r="A46" s="90"/>
      <c r="B46" s="75"/>
      <c r="C46" s="163" t="s">
        <v>25</v>
      </c>
      <c r="D46" s="164"/>
      <c r="E46" s="63"/>
      <c r="F46" s="70"/>
    </row>
    <row r="47" spans="1:6" ht="16.5" x14ac:dyDescent="0.25">
      <c r="A47" s="88"/>
      <c r="B47" s="76"/>
      <c r="C47" s="25" t="s">
        <v>30</v>
      </c>
      <c r="D47" s="26" t="s">
        <v>14</v>
      </c>
      <c r="E47" s="26">
        <v>0.5</v>
      </c>
      <c r="F47" s="77"/>
    </row>
    <row r="48" spans="1:6" ht="16.5" x14ac:dyDescent="0.25">
      <c r="A48" s="88"/>
      <c r="B48" s="76"/>
      <c r="C48" s="25" t="s">
        <v>31</v>
      </c>
      <c r="D48" s="26" t="s">
        <v>14</v>
      </c>
      <c r="E48" s="26">
        <v>1</v>
      </c>
      <c r="F48" s="77"/>
    </row>
    <row r="49" spans="1:6" ht="16.5" x14ac:dyDescent="0.25">
      <c r="A49" s="88"/>
      <c r="B49" s="76"/>
      <c r="C49" s="25" t="s">
        <v>32</v>
      </c>
      <c r="D49" s="26" t="s">
        <v>14</v>
      </c>
      <c r="E49" s="26">
        <v>2</v>
      </c>
      <c r="F49" s="77"/>
    </row>
    <row r="50" spans="1:6" ht="33" x14ac:dyDescent="0.25">
      <c r="A50" s="88"/>
      <c r="B50" s="76"/>
      <c r="C50" s="25" t="s">
        <v>33</v>
      </c>
      <c r="D50" s="26" t="s">
        <v>14</v>
      </c>
      <c r="E50" s="26">
        <v>3</v>
      </c>
      <c r="F50" s="77"/>
    </row>
    <row r="51" spans="1:6" ht="16.5" x14ac:dyDescent="0.25">
      <c r="A51" s="88"/>
      <c r="B51" s="76"/>
      <c r="C51" s="25" t="s">
        <v>34</v>
      </c>
      <c r="D51" s="26" t="s">
        <v>14</v>
      </c>
      <c r="E51" s="26">
        <v>4</v>
      </c>
      <c r="F51" s="77"/>
    </row>
    <row r="52" spans="1:6" ht="16.5" x14ac:dyDescent="0.25">
      <c r="A52" s="88"/>
      <c r="B52" s="76"/>
      <c r="C52" s="25" t="s">
        <v>35</v>
      </c>
      <c r="D52" s="26" t="s">
        <v>14</v>
      </c>
      <c r="E52" s="26">
        <v>5</v>
      </c>
      <c r="F52" s="77"/>
    </row>
    <row r="53" spans="1:6" ht="16.5" x14ac:dyDescent="0.25">
      <c r="A53" s="88"/>
      <c r="B53" s="76"/>
      <c r="C53" s="25" t="s">
        <v>36</v>
      </c>
      <c r="D53" s="26" t="s">
        <v>14</v>
      </c>
      <c r="E53" s="26">
        <v>6</v>
      </c>
      <c r="F53" s="77"/>
    </row>
    <row r="54" spans="1:6" ht="16.5" x14ac:dyDescent="0.25">
      <c r="A54" s="165"/>
      <c r="B54" s="78"/>
      <c r="C54" s="43" t="s">
        <v>15</v>
      </c>
      <c r="D54" s="51" t="s">
        <v>23</v>
      </c>
      <c r="E54" s="44">
        <v>1</v>
      </c>
      <c r="F54" s="80"/>
    </row>
    <row r="55" spans="1:6" ht="33" x14ac:dyDescent="0.25">
      <c r="A55" s="88" t="s">
        <v>131</v>
      </c>
      <c r="B55" s="167" t="s">
        <v>130</v>
      </c>
      <c r="C55" s="42" t="s">
        <v>132</v>
      </c>
      <c r="D55" s="72" t="s">
        <v>65</v>
      </c>
      <c r="E55" s="72">
        <v>1</v>
      </c>
      <c r="F55" s="77"/>
    </row>
    <row r="56" spans="1:6" ht="16.5" x14ac:dyDescent="0.25">
      <c r="A56" s="88"/>
      <c r="B56" s="76"/>
      <c r="C56" s="30" t="s">
        <v>18</v>
      </c>
      <c r="D56" s="6"/>
      <c r="E56" s="6"/>
      <c r="F56" s="77"/>
    </row>
    <row r="57" spans="1:6" ht="16.5" x14ac:dyDescent="0.25">
      <c r="A57" s="88"/>
      <c r="B57" s="76"/>
      <c r="C57" s="8" t="s">
        <v>7</v>
      </c>
      <c r="D57" s="6" t="s">
        <v>20</v>
      </c>
      <c r="E57" s="6">
        <v>0.3</v>
      </c>
      <c r="F57" s="77"/>
    </row>
    <row r="58" spans="1:6" ht="16.5" x14ac:dyDescent="0.25">
      <c r="A58" s="88"/>
      <c r="B58" s="76"/>
      <c r="C58" s="10" t="s">
        <v>8</v>
      </c>
      <c r="D58" s="73" t="s">
        <v>21</v>
      </c>
      <c r="E58" s="6">
        <v>0.2</v>
      </c>
      <c r="F58" s="77"/>
    </row>
    <row r="59" spans="1:6" ht="66" x14ac:dyDescent="0.25">
      <c r="A59" s="674">
        <v>6</v>
      </c>
      <c r="B59" s="71" t="s">
        <v>73</v>
      </c>
      <c r="C59" s="42" t="s">
        <v>149</v>
      </c>
      <c r="D59" s="72" t="s">
        <v>65</v>
      </c>
      <c r="E59" s="72">
        <v>1</v>
      </c>
      <c r="F59" s="70"/>
    </row>
    <row r="60" spans="1:6" ht="33" customHeight="1" x14ac:dyDescent="0.25">
      <c r="A60" s="675"/>
      <c r="B60" s="81"/>
      <c r="C60" s="30" t="s">
        <v>18</v>
      </c>
      <c r="D60" s="6"/>
      <c r="E60" s="6"/>
      <c r="F60" s="77"/>
    </row>
    <row r="61" spans="1:6" ht="16.5" x14ac:dyDescent="0.25">
      <c r="A61" s="675"/>
      <c r="B61" s="81"/>
      <c r="C61" s="8" t="s">
        <v>7</v>
      </c>
      <c r="D61" s="6" t="s">
        <v>20</v>
      </c>
      <c r="E61" s="6">
        <v>0.4</v>
      </c>
      <c r="F61" s="77"/>
    </row>
    <row r="62" spans="1:6" ht="16.5" x14ac:dyDescent="0.25">
      <c r="A62" s="699"/>
      <c r="B62" s="81"/>
      <c r="C62" s="46" t="s">
        <v>8</v>
      </c>
      <c r="D62" s="79" t="s">
        <v>21</v>
      </c>
      <c r="E62" s="12">
        <v>0.2</v>
      </c>
      <c r="F62" s="77"/>
    </row>
    <row r="63" spans="1:6" ht="49.5" x14ac:dyDescent="0.25">
      <c r="A63" s="674">
        <v>7</v>
      </c>
      <c r="B63" s="71" t="s">
        <v>74</v>
      </c>
      <c r="C63" s="42" t="s">
        <v>150</v>
      </c>
      <c r="D63" s="72" t="s">
        <v>65</v>
      </c>
      <c r="E63" s="72">
        <v>1</v>
      </c>
      <c r="F63" s="70"/>
    </row>
    <row r="64" spans="1:6" ht="30" customHeight="1" x14ac:dyDescent="0.25">
      <c r="A64" s="675"/>
      <c r="B64" s="81"/>
      <c r="C64" s="30" t="s">
        <v>18</v>
      </c>
      <c r="D64" s="6"/>
      <c r="E64" s="6"/>
      <c r="F64" s="77"/>
    </row>
    <row r="65" spans="1:6" ht="16.5" x14ac:dyDescent="0.25">
      <c r="A65" s="675"/>
      <c r="B65" s="81"/>
      <c r="C65" s="8" t="s">
        <v>7</v>
      </c>
      <c r="D65" s="6" t="s">
        <v>20</v>
      </c>
      <c r="E65" s="6">
        <v>0.3</v>
      </c>
      <c r="F65" s="77"/>
    </row>
    <row r="66" spans="1:6" ht="16.5" x14ac:dyDescent="0.25">
      <c r="A66" s="675"/>
      <c r="B66" s="80"/>
      <c r="C66" s="46" t="s">
        <v>8</v>
      </c>
      <c r="D66" s="79" t="s">
        <v>21</v>
      </c>
      <c r="E66" s="12">
        <v>0.2</v>
      </c>
      <c r="F66" s="80"/>
    </row>
    <row r="67" spans="1:6" ht="33" x14ac:dyDescent="0.25">
      <c r="A67" s="674">
        <v>8</v>
      </c>
      <c r="B67" s="71" t="s">
        <v>55</v>
      </c>
      <c r="C67" s="42" t="s">
        <v>153</v>
      </c>
      <c r="D67" s="72" t="s">
        <v>65</v>
      </c>
      <c r="E67" s="72">
        <v>1</v>
      </c>
      <c r="F67" s="70"/>
    </row>
    <row r="68" spans="1:6" ht="16.5" x14ac:dyDescent="0.25">
      <c r="A68" s="675"/>
      <c r="B68" s="81"/>
      <c r="C68" s="30" t="s">
        <v>18</v>
      </c>
      <c r="D68" s="6"/>
      <c r="E68" s="6"/>
      <c r="F68" s="77"/>
    </row>
    <row r="69" spans="1:6" ht="16.5" x14ac:dyDescent="0.25">
      <c r="A69" s="675"/>
      <c r="B69" s="81"/>
      <c r="C69" s="8" t="s">
        <v>7</v>
      </c>
      <c r="D69" s="6" t="s">
        <v>20</v>
      </c>
      <c r="E69" s="6">
        <v>0.2</v>
      </c>
      <c r="F69" s="77"/>
    </row>
    <row r="70" spans="1:6" ht="16.5" x14ac:dyDescent="0.25">
      <c r="A70" s="675"/>
      <c r="B70" s="81"/>
      <c r="C70" s="46" t="s">
        <v>8</v>
      </c>
      <c r="D70" s="79" t="s">
        <v>21</v>
      </c>
      <c r="E70" s="12">
        <v>0.08</v>
      </c>
      <c r="F70" s="77"/>
    </row>
    <row r="71" spans="1:6" ht="49.5" x14ac:dyDescent="0.25">
      <c r="A71" s="84">
        <v>9</v>
      </c>
      <c r="B71" s="54" t="s">
        <v>75</v>
      </c>
      <c r="C71" s="83" t="s">
        <v>71</v>
      </c>
      <c r="D71" s="68" t="s">
        <v>65</v>
      </c>
      <c r="E71" s="68">
        <v>1</v>
      </c>
      <c r="F71" s="1"/>
    </row>
  </sheetData>
  <mergeCells count="16">
    <mergeCell ref="B13:B17"/>
    <mergeCell ref="C1:C2"/>
    <mergeCell ref="D1:D2"/>
    <mergeCell ref="E1:F1"/>
    <mergeCell ref="A67:A70"/>
    <mergeCell ref="A63:A66"/>
    <mergeCell ref="A40:A44"/>
    <mergeCell ref="A1:A2"/>
    <mergeCell ref="B1:B2"/>
    <mergeCell ref="A8:A11"/>
    <mergeCell ref="A3:A7"/>
    <mergeCell ref="A59:A62"/>
    <mergeCell ref="A33:A37"/>
    <mergeCell ref="A29:A32"/>
    <mergeCell ref="A24:A28"/>
    <mergeCell ref="A19:A2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workbookViewId="0">
      <selection activeCell="F56" sqref="F56"/>
    </sheetView>
  </sheetViews>
  <sheetFormatPr defaultRowHeight="15.75" x14ac:dyDescent="0.25"/>
  <cols>
    <col min="1" max="1" width="4.75" style="69" bestFit="1" customWidth="1"/>
    <col min="2" max="2" width="43.5" customWidth="1"/>
    <col min="3" max="3" width="25.875" customWidth="1"/>
    <col min="5" max="5" width="9" style="69"/>
  </cols>
  <sheetData>
    <row r="1" spans="1:6" ht="16.5" x14ac:dyDescent="0.25">
      <c r="A1" s="676" t="s">
        <v>0</v>
      </c>
      <c r="B1" s="676" t="s">
        <v>1</v>
      </c>
      <c r="C1" s="667" t="s">
        <v>16</v>
      </c>
      <c r="D1" s="667" t="s">
        <v>4</v>
      </c>
      <c r="E1" s="667" t="s">
        <v>24</v>
      </c>
      <c r="F1" s="667"/>
    </row>
    <row r="2" spans="1:6" ht="34.5" customHeight="1" x14ac:dyDescent="0.25">
      <c r="A2" s="676"/>
      <c r="B2" s="676"/>
      <c r="C2" s="667"/>
      <c r="D2" s="667"/>
      <c r="E2" s="89" t="s">
        <v>2</v>
      </c>
      <c r="F2" s="89" t="s">
        <v>3</v>
      </c>
    </row>
    <row r="3" spans="1:6" ht="33" x14ac:dyDescent="0.25">
      <c r="A3" s="674">
        <v>1</v>
      </c>
      <c r="B3" s="92" t="s">
        <v>72</v>
      </c>
      <c r="C3" s="42" t="s">
        <v>48</v>
      </c>
      <c r="D3" s="72" t="s">
        <v>65</v>
      </c>
      <c r="E3" s="72">
        <v>1</v>
      </c>
      <c r="F3" s="70"/>
    </row>
    <row r="4" spans="1:6" ht="16.5" x14ac:dyDescent="0.25">
      <c r="A4" s="675"/>
      <c r="B4" s="76"/>
      <c r="C4" s="30" t="s">
        <v>18</v>
      </c>
      <c r="D4" s="6"/>
      <c r="E4" s="6"/>
      <c r="F4" s="77"/>
    </row>
    <row r="5" spans="1:6" ht="16.5" x14ac:dyDescent="0.25">
      <c r="A5" s="675"/>
      <c r="B5" s="76"/>
      <c r="C5" s="8" t="s">
        <v>7</v>
      </c>
      <c r="D5" s="6" t="s">
        <v>20</v>
      </c>
      <c r="E5" s="9">
        <v>0.5</v>
      </c>
      <c r="F5" s="77"/>
    </row>
    <row r="6" spans="1:6" ht="16.5" x14ac:dyDescent="0.25">
      <c r="A6" s="675"/>
      <c r="B6" s="76"/>
      <c r="C6" s="10" t="s">
        <v>8</v>
      </c>
      <c r="D6" s="73" t="s">
        <v>21</v>
      </c>
      <c r="E6" s="6">
        <v>0.3</v>
      </c>
      <c r="F6" s="77"/>
    </row>
    <row r="7" spans="1:6" ht="16.5" x14ac:dyDescent="0.25">
      <c r="A7" s="675"/>
      <c r="B7" s="76"/>
      <c r="C7" s="14" t="s">
        <v>19</v>
      </c>
      <c r="D7" s="79" t="s">
        <v>21</v>
      </c>
      <c r="E7" s="6">
        <v>0.5</v>
      </c>
      <c r="F7" s="77"/>
    </row>
    <row r="8" spans="1:6" ht="30" customHeight="1" x14ac:dyDescent="0.25">
      <c r="A8" s="674">
        <v>2</v>
      </c>
      <c r="B8" s="71" t="s">
        <v>56</v>
      </c>
      <c r="C8" s="42" t="s">
        <v>37</v>
      </c>
      <c r="D8" s="72" t="s">
        <v>65</v>
      </c>
      <c r="E8" s="72">
        <v>1</v>
      </c>
      <c r="F8" s="70"/>
    </row>
    <row r="9" spans="1:6" ht="16.5" x14ac:dyDescent="0.25">
      <c r="A9" s="675"/>
      <c r="B9" s="81"/>
      <c r="C9" s="30" t="s">
        <v>18</v>
      </c>
      <c r="D9" s="6"/>
      <c r="E9" s="6"/>
      <c r="F9" s="77"/>
    </row>
    <row r="10" spans="1:6" ht="16.5" x14ac:dyDescent="0.25">
      <c r="A10" s="675"/>
      <c r="B10" s="81"/>
      <c r="C10" s="8" t="s">
        <v>7</v>
      </c>
      <c r="D10" s="6" t="s">
        <v>20</v>
      </c>
      <c r="E10" s="6">
        <v>0.1</v>
      </c>
      <c r="F10" s="77"/>
    </row>
    <row r="11" spans="1:6" ht="16.5" x14ac:dyDescent="0.25">
      <c r="A11" s="675"/>
      <c r="B11" s="81"/>
      <c r="C11" s="10" t="s">
        <v>8</v>
      </c>
      <c r="D11" s="73" t="s">
        <v>21</v>
      </c>
      <c r="E11" s="6">
        <v>0.08</v>
      </c>
      <c r="F11" s="77"/>
    </row>
    <row r="12" spans="1:6" ht="33" x14ac:dyDescent="0.25">
      <c r="A12" s="85">
        <v>3</v>
      </c>
      <c r="B12" s="690" t="s">
        <v>57</v>
      </c>
      <c r="C12" s="42" t="s">
        <v>59</v>
      </c>
      <c r="D12" s="72" t="s">
        <v>65</v>
      </c>
      <c r="E12" s="72">
        <v>1</v>
      </c>
      <c r="F12" s="70"/>
    </row>
    <row r="13" spans="1:6" ht="16.5" x14ac:dyDescent="0.25">
      <c r="A13" s="86"/>
      <c r="B13" s="691"/>
      <c r="C13" s="30" t="s">
        <v>18</v>
      </c>
      <c r="D13" s="6"/>
      <c r="E13" s="6"/>
      <c r="F13" s="77"/>
    </row>
    <row r="14" spans="1:6" ht="20.100000000000001" customHeight="1" x14ac:dyDescent="0.25">
      <c r="A14" s="86"/>
      <c r="B14" s="691"/>
      <c r="C14" s="8" t="s">
        <v>7</v>
      </c>
      <c r="D14" s="6" t="s">
        <v>20</v>
      </c>
      <c r="E14" s="9">
        <v>0.4</v>
      </c>
      <c r="F14" s="77"/>
    </row>
    <row r="15" spans="1:6" ht="20.100000000000001" customHeight="1" x14ac:dyDescent="0.25">
      <c r="A15" s="86"/>
      <c r="B15" s="691"/>
      <c r="C15" s="10" t="s">
        <v>8</v>
      </c>
      <c r="D15" s="73" t="s">
        <v>21</v>
      </c>
      <c r="E15" s="6">
        <v>0.3</v>
      </c>
      <c r="F15" s="77"/>
    </row>
    <row r="16" spans="1:6" ht="20.100000000000001" customHeight="1" x14ac:dyDescent="0.25">
      <c r="A16" s="86"/>
      <c r="B16" s="700"/>
      <c r="C16" s="14" t="s">
        <v>19</v>
      </c>
      <c r="D16" s="79" t="s">
        <v>21</v>
      </c>
      <c r="E16" s="6">
        <v>1</v>
      </c>
      <c r="F16" s="80"/>
    </row>
    <row r="17" spans="1:6" ht="49.5" x14ac:dyDescent="0.25">
      <c r="A17" s="84">
        <v>4</v>
      </c>
      <c r="B17" s="56" t="s">
        <v>49</v>
      </c>
      <c r="C17" s="1"/>
      <c r="D17" s="74"/>
      <c r="E17" s="68"/>
      <c r="F17" s="1"/>
    </row>
    <row r="18" spans="1:6" ht="49.5" x14ac:dyDescent="0.25">
      <c r="A18" s="688" t="s">
        <v>58</v>
      </c>
      <c r="B18" s="75" t="s">
        <v>50</v>
      </c>
      <c r="C18" s="42" t="s">
        <v>48</v>
      </c>
      <c r="D18" s="72" t="s">
        <v>65</v>
      </c>
      <c r="E18" s="72">
        <v>1</v>
      </c>
      <c r="F18" s="70"/>
    </row>
    <row r="19" spans="1:6" ht="30" customHeight="1" x14ac:dyDescent="0.25">
      <c r="A19" s="689"/>
      <c r="B19" s="76"/>
      <c r="C19" s="30" t="s">
        <v>18</v>
      </c>
      <c r="D19" s="6"/>
      <c r="E19" s="6"/>
      <c r="F19" s="77"/>
    </row>
    <row r="20" spans="1:6" ht="16.5" x14ac:dyDescent="0.25">
      <c r="A20" s="689"/>
      <c r="B20" s="76"/>
      <c r="C20" s="8" t="s">
        <v>7</v>
      </c>
      <c r="D20" s="6" t="s">
        <v>20</v>
      </c>
      <c r="E20" s="206">
        <v>1</v>
      </c>
      <c r="F20" s="77"/>
    </row>
    <row r="21" spans="1:6" ht="16.5" x14ac:dyDescent="0.25">
      <c r="A21" s="689"/>
      <c r="B21" s="76"/>
      <c r="C21" s="10" t="s">
        <v>8</v>
      </c>
      <c r="D21" s="73" t="s">
        <v>21</v>
      </c>
      <c r="E21" s="6">
        <v>0.5</v>
      </c>
      <c r="F21" s="77"/>
    </row>
    <row r="22" spans="1:6" ht="16.5" x14ac:dyDescent="0.25">
      <c r="A22" s="689"/>
      <c r="B22" s="78"/>
      <c r="C22" s="82" t="s">
        <v>19</v>
      </c>
      <c r="D22" s="79" t="s">
        <v>21</v>
      </c>
      <c r="E22" s="6">
        <v>0.5</v>
      </c>
      <c r="F22" s="80"/>
    </row>
    <row r="23" spans="1:6" ht="49.5" x14ac:dyDescent="0.25">
      <c r="A23" s="688" t="s">
        <v>61</v>
      </c>
      <c r="B23" s="75" t="s">
        <v>51</v>
      </c>
      <c r="C23" s="42" t="s">
        <v>60</v>
      </c>
      <c r="D23" s="72" t="s">
        <v>65</v>
      </c>
      <c r="E23" s="72">
        <v>1</v>
      </c>
      <c r="F23" s="70"/>
    </row>
    <row r="24" spans="1:6" ht="16.5" x14ac:dyDescent="0.25">
      <c r="A24" s="689"/>
      <c r="B24" s="76"/>
      <c r="C24" s="30" t="s">
        <v>18</v>
      </c>
      <c r="D24" s="6"/>
      <c r="E24" s="6"/>
      <c r="F24" s="77"/>
    </row>
    <row r="25" spans="1:6" ht="16.5" x14ac:dyDescent="0.25">
      <c r="A25" s="689"/>
      <c r="B25" s="76"/>
      <c r="C25" s="8" t="s">
        <v>7</v>
      </c>
      <c r="D25" s="6" t="s">
        <v>20</v>
      </c>
      <c r="E25" s="6">
        <v>0.5</v>
      </c>
      <c r="F25" s="77"/>
    </row>
    <row r="26" spans="1:6" ht="16.5" x14ac:dyDescent="0.25">
      <c r="A26" s="689"/>
      <c r="B26" s="76"/>
      <c r="C26" s="10" t="s">
        <v>8</v>
      </c>
      <c r="D26" s="73" t="s">
        <v>21</v>
      </c>
      <c r="E26" s="6">
        <v>0.2</v>
      </c>
      <c r="F26" s="77"/>
    </row>
    <row r="27" spans="1:6" ht="16.5" x14ac:dyDescent="0.25">
      <c r="A27" s="689"/>
      <c r="B27" s="78"/>
      <c r="C27" s="14" t="s">
        <v>19</v>
      </c>
      <c r="D27" s="79" t="s">
        <v>21</v>
      </c>
      <c r="E27" s="12">
        <v>1</v>
      </c>
      <c r="F27" s="80"/>
    </row>
    <row r="28" spans="1:6" ht="30" customHeight="1" x14ac:dyDescent="0.25">
      <c r="A28" s="674" t="s">
        <v>62</v>
      </c>
      <c r="B28" s="75" t="s">
        <v>52</v>
      </c>
      <c r="C28" s="42" t="s">
        <v>37</v>
      </c>
      <c r="D28" s="72" t="s">
        <v>65</v>
      </c>
      <c r="E28" s="72">
        <v>1</v>
      </c>
      <c r="F28" s="70"/>
    </row>
    <row r="29" spans="1:6" ht="16.5" x14ac:dyDescent="0.25">
      <c r="A29" s="675"/>
      <c r="B29" s="76"/>
      <c r="C29" s="30" t="s">
        <v>18</v>
      </c>
      <c r="D29" s="6"/>
      <c r="E29" s="6"/>
      <c r="F29" s="77"/>
    </row>
    <row r="30" spans="1:6" ht="16.5" x14ac:dyDescent="0.25">
      <c r="A30" s="675"/>
      <c r="B30" s="76"/>
      <c r="C30" s="8" t="s">
        <v>7</v>
      </c>
      <c r="D30" s="6" t="s">
        <v>20</v>
      </c>
      <c r="E30" s="6">
        <v>0.2</v>
      </c>
      <c r="F30" s="77"/>
    </row>
    <row r="31" spans="1:6" ht="16.5" x14ac:dyDescent="0.25">
      <c r="A31" s="675"/>
      <c r="B31" s="78"/>
      <c r="C31" s="46" t="s">
        <v>8</v>
      </c>
      <c r="D31" s="79" t="s">
        <v>21</v>
      </c>
      <c r="E31" s="12">
        <v>0.1</v>
      </c>
      <c r="F31" s="80"/>
    </row>
    <row r="32" spans="1:6" ht="33" x14ac:dyDescent="0.25">
      <c r="A32" s="674" t="s">
        <v>63</v>
      </c>
      <c r="B32" s="75" t="s">
        <v>53</v>
      </c>
      <c r="C32" s="42" t="s">
        <v>64</v>
      </c>
      <c r="D32" s="72" t="s">
        <v>65</v>
      </c>
      <c r="E32" s="72">
        <v>1</v>
      </c>
      <c r="F32" s="70"/>
    </row>
    <row r="33" spans="1:6" ht="30" customHeight="1" x14ac:dyDescent="0.25">
      <c r="A33" s="675"/>
      <c r="B33" s="76"/>
      <c r="C33" s="30" t="s">
        <v>18</v>
      </c>
      <c r="D33" s="6"/>
      <c r="E33" s="6"/>
      <c r="F33" s="77"/>
    </row>
    <row r="34" spans="1:6" ht="16.5" x14ac:dyDescent="0.25">
      <c r="A34" s="675"/>
      <c r="B34" s="76"/>
      <c r="C34" s="8" t="s">
        <v>7</v>
      </c>
      <c r="D34" s="6" t="s">
        <v>20</v>
      </c>
      <c r="E34" s="6">
        <v>0.5</v>
      </c>
      <c r="F34" s="77"/>
    </row>
    <row r="35" spans="1:6" ht="16.5" x14ac:dyDescent="0.25">
      <c r="A35" s="675"/>
      <c r="B35" s="76"/>
      <c r="C35" s="10" t="s">
        <v>8</v>
      </c>
      <c r="D35" s="73" t="s">
        <v>21</v>
      </c>
      <c r="E35" s="6">
        <v>0.3</v>
      </c>
      <c r="F35" s="77"/>
    </row>
    <row r="36" spans="1:6" ht="16.5" x14ac:dyDescent="0.25">
      <c r="A36" s="675"/>
      <c r="B36" s="78"/>
      <c r="C36" s="82" t="s">
        <v>19</v>
      </c>
      <c r="D36" s="79" t="s">
        <v>21</v>
      </c>
      <c r="E36" s="12">
        <v>0.5</v>
      </c>
      <c r="F36" s="80"/>
    </row>
    <row r="37" spans="1:6" ht="115.5" x14ac:dyDescent="0.25">
      <c r="A37" s="84">
        <v>5</v>
      </c>
      <c r="B37" s="54" t="s">
        <v>54</v>
      </c>
      <c r="C37" s="1"/>
      <c r="D37" s="74"/>
      <c r="E37" s="68"/>
      <c r="F37" s="1"/>
    </row>
    <row r="38" spans="1:6" ht="82.5" x14ac:dyDescent="0.25">
      <c r="A38" s="90" t="s">
        <v>76</v>
      </c>
      <c r="B38" s="55" t="s">
        <v>66</v>
      </c>
      <c r="C38" s="42" t="s">
        <v>48</v>
      </c>
      <c r="D38" s="72" t="s">
        <v>65</v>
      </c>
      <c r="E38" s="72">
        <v>1</v>
      </c>
      <c r="F38" s="70"/>
    </row>
    <row r="39" spans="1:6" ht="49.5" x14ac:dyDescent="0.25">
      <c r="A39" s="688" t="s">
        <v>69</v>
      </c>
      <c r="B39" s="75" t="s">
        <v>67</v>
      </c>
      <c r="C39" s="42" t="s">
        <v>68</v>
      </c>
      <c r="D39" s="72" t="s">
        <v>65</v>
      </c>
      <c r="E39" s="72">
        <v>1</v>
      </c>
      <c r="F39" s="70"/>
    </row>
    <row r="40" spans="1:6" ht="16.5" x14ac:dyDescent="0.25">
      <c r="A40" s="689"/>
      <c r="B40" s="81"/>
      <c r="C40" s="30" t="s">
        <v>18</v>
      </c>
      <c r="D40" s="6"/>
      <c r="E40" s="6"/>
      <c r="F40" s="77"/>
    </row>
    <row r="41" spans="1:6" ht="16.5" x14ac:dyDescent="0.25">
      <c r="A41" s="689"/>
      <c r="B41" s="81"/>
      <c r="C41" s="8" t="s">
        <v>7</v>
      </c>
      <c r="D41" s="6" t="s">
        <v>20</v>
      </c>
      <c r="E41" s="6">
        <v>0.4</v>
      </c>
      <c r="F41" s="77"/>
    </row>
    <row r="42" spans="1:6" ht="16.5" x14ac:dyDescent="0.25">
      <c r="A42" s="689"/>
      <c r="B42" s="81"/>
      <c r="C42" s="10" t="s">
        <v>8</v>
      </c>
      <c r="D42" s="73" t="s">
        <v>21</v>
      </c>
      <c r="E42" s="6">
        <v>0.2</v>
      </c>
      <c r="F42" s="77"/>
    </row>
    <row r="43" spans="1:6" ht="16.5" x14ac:dyDescent="0.25">
      <c r="A43" s="689"/>
      <c r="B43" s="81"/>
      <c r="C43" s="66" t="s">
        <v>19</v>
      </c>
      <c r="D43" s="73" t="s">
        <v>21</v>
      </c>
      <c r="E43" s="6">
        <v>0.5</v>
      </c>
      <c r="F43" s="77"/>
    </row>
    <row r="44" spans="1:6" ht="36" customHeight="1" x14ac:dyDescent="0.25">
      <c r="A44" s="93" t="s">
        <v>70</v>
      </c>
      <c r="B44" s="55" t="s">
        <v>129</v>
      </c>
      <c r="C44" s="83" t="s">
        <v>48</v>
      </c>
      <c r="D44" s="68" t="s">
        <v>65</v>
      </c>
      <c r="E44" s="68"/>
      <c r="F44" s="162">
        <v>1</v>
      </c>
    </row>
    <row r="45" spans="1:6" ht="33" x14ac:dyDescent="0.25">
      <c r="A45" s="90"/>
      <c r="B45" s="75"/>
      <c r="C45" s="163" t="s">
        <v>25</v>
      </c>
      <c r="D45" s="164"/>
      <c r="E45" s="63"/>
      <c r="F45" s="70"/>
    </row>
    <row r="46" spans="1:6" ht="16.5" x14ac:dyDescent="0.25">
      <c r="A46" s="88"/>
      <c r="B46" s="76"/>
      <c r="C46" s="25" t="s">
        <v>30</v>
      </c>
      <c r="D46" s="26" t="s">
        <v>14</v>
      </c>
      <c r="E46" s="26">
        <v>0.5</v>
      </c>
      <c r="F46" s="77"/>
    </row>
    <row r="47" spans="1:6" ht="16.5" x14ac:dyDescent="0.25">
      <c r="A47" s="88"/>
      <c r="B47" s="76"/>
      <c r="C47" s="25" t="s">
        <v>31</v>
      </c>
      <c r="D47" s="26" t="s">
        <v>14</v>
      </c>
      <c r="E47" s="26">
        <v>1</v>
      </c>
      <c r="F47" s="77"/>
    </row>
    <row r="48" spans="1:6" ht="16.5" x14ac:dyDescent="0.25">
      <c r="A48" s="88"/>
      <c r="B48" s="76"/>
      <c r="C48" s="25" t="s">
        <v>32</v>
      </c>
      <c r="D48" s="26" t="s">
        <v>14</v>
      </c>
      <c r="E48" s="26">
        <v>2</v>
      </c>
      <c r="F48" s="77"/>
    </row>
    <row r="49" spans="1:6" ht="33" x14ac:dyDescent="0.25">
      <c r="A49" s="88"/>
      <c r="B49" s="76"/>
      <c r="C49" s="25" t="s">
        <v>33</v>
      </c>
      <c r="D49" s="26" t="s">
        <v>14</v>
      </c>
      <c r="E49" s="26">
        <v>3</v>
      </c>
      <c r="F49" s="77"/>
    </row>
    <row r="50" spans="1:6" ht="16.5" x14ac:dyDescent="0.25">
      <c r="A50" s="88"/>
      <c r="B50" s="76"/>
      <c r="C50" s="25" t="s">
        <v>34</v>
      </c>
      <c r="D50" s="26" t="s">
        <v>14</v>
      </c>
      <c r="E50" s="26">
        <v>4</v>
      </c>
      <c r="F50" s="77"/>
    </row>
    <row r="51" spans="1:6" ht="16.5" x14ac:dyDescent="0.25">
      <c r="A51" s="88"/>
      <c r="B51" s="76"/>
      <c r="C51" s="25" t="s">
        <v>35</v>
      </c>
      <c r="D51" s="26" t="s">
        <v>14</v>
      </c>
      <c r="E51" s="26">
        <v>5</v>
      </c>
      <c r="F51" s="77"/>
    </row>
    <row r="52" spans="1:6" ht="16.5" x14ac:dyDescent="0.25">
      <c r="A52" s="88"/>
      <c r="B52" s="76"/>
      <c r="C52" s="25" t="s">
        <v>36</v>
      </c>
      <c r="D52" s="26" t="s">
        <v>14</v>
      </c>
      <c r="E52" s="26">
        <v>6</v>
      </c>
      <c r="F52" s="77"/>
    </row>
    <row r="53" spans="1:6" ht="33" x14ac:dyDescent="0.25">
      <c r="A53" s="165"/>
      <c r="B53" s="78"/>
      <c r="C53" s="43" t="s">
        <v>15</v>
      </c>
      <c r="D53" s="51" t="s">
        <v>23</v>
      </c>
      <c r="E53" s="44">
        <v>1</v>
      </c>
      <c r="F53" s="80"/>
    </row>
    <row r="54" spans="1:6" ht="33" x14ac:dyDescent="0.25">
      <c r="A54" s="88" t="s">
        <v>131</v>
      </c>
      <c r="B54" s="167" t="s">
        <v>130</v>
      </c>
      <c r="C54" s="42" t="s">
        <v>132</v>
      </c>
      <c r="D54" s="72" t="s">
        <v>65</v>
      </c>
      <c r="E54" s="72">
        <v>1</v>
      </c>
      <c r="F54" s="77"/>
    </row>
    <row r="55" spans="1:6" ht="16.5" x14ac:dyDescent="0.25">
      <c r="A55" s="88"/>
      <c r="B55" s="76"/>
      <c r="C55" s="30" t="s">
        <v>18</v>
      </c>
      <c r="D55" s="6"/>
      <c r="E55" s="6"/>
      <c r="F55" s="77"/>
    </row>
    <row r="56" spans="1:6" ht="16.5" x14ac:dyDescent="0.25">
      <c r="A56" s="88"/>
      <c r="B56" s="76"/>
      <c r="C56" s="8" t="s">
        <v>7</v>
      </c>
      <c r="D56" s="6" t="s">
        <v>20</v>
      </c>
      <c r="E56" s="6">
        <v>0.3</v>
      </c>
      <c r="F56" s="77"/>
    </row>
    <row r="57" spans="1:6" ht="16.5" x14ac:dyDescent="0.25">
      <c r="A57" s="165"/>
      <c r="B57" s="78"/>
      <c r="C57" s="46" t="s">
        <v>8</v>
      </c>
      <c r="D57" s="79" t="s">
        <v>21</v>
      </c>
      <c r="E57" s="6">
        <v>0.2</v>
      </c>
      <c r="F57" s="80"/>
    </row>
  </sheetData>
  <mergeCells count="13">
    <mergeCell ref="E1:F1"/>
    <mergeCell ref="A39:A43"/>
    <mergeCell ref="A8:A11"/>
    <mergeCell ref="B12:B16"/>
    <mergeCell ref="A18:A22"/>
    <mergeCell ref="A23:A27"/>
    <mergeCell ref="A28:A31"/>
    <mergeCell ref="A32:A36"/>
    <mergeCell ref="A3:A7"/>
    <mergeCell ref="A1:A2"/>
    <mergeCell ref="B1:B2"/>
    <mergeCell ref="C1:C2"/>
    <mergeCell ref="D1: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A2" sqref="A2:F3"/>
    </sheetView>
  </sheetViews>
  <sheetFormatPr defaultColWidth="9" defaultRowHeight="16.5" x14ac:dyDescent="0.25"/>
  <cols>
    <col min="1" max="1" width="5.75" style="2" bestFit="1" customWidth="1"/>
    <col min="2" max="2" width="28.875" style="2" customWidth="1"/>
    <col min="3" max="3" width="28.125" style="2" customWidth="1"/>
    <col min="4" max="4" width="11.875" style="37" customWidth="1"/>
    <col min="5" max="5" width="16.375" style="2" customWidth="1"/>
    <col min="6" max="6" width="17" style="2" customWidth="1"/>
    <col min="7" max="16384" width="9" style="2"/>
  </cols>
  <sheetData>
    <row r="1" spans="1:6" ht="24" customHeight="1" x14ac:dyDescent="0.25">
      <c r="C1" s="692" t="s">
        <v>38</v>
      </c>
      <c r="D1" s="692"/>
      <c r="E1" s="692"/>
      <c r="F1" s="692"/>
    </row>
    <row r="2" spans="1:6" ht="36.75" customHeight="1" x14ac:dyDescent="0.25">
      <c r="A2" s="693" t="s">
        <v>0</v>
      </c>
      <c r="B2" s="693" t="s">
        <v>1</v>
      </c>
      <c r="C2" s="695" t="s">
        <v>16</v>
      </c>
      <c r="D2" s="695" t="s">
        <v>4</v>
      </c>
      <c r="E2" s="697" t="s">
        <v>24</v>
      </c>
      <c r="F2" s="698"/>
    </row>
    <row r="3" spans="1:6" ht="18.75" customHeight="1" x14ac:dyDescent="0.25">
      <c r="A3" s="694"/>
      <c r="B3" s="694"/>
      <c r="C3" s="696"/>
      <c r="D3" s="696"/>
      <c r="E3" s="19" t="s">
        <v>2</v>
      </c>
      <c r="F3" s="17" t="s">
        <v>3</v>
      </c>
    </row>
    <row r="4" spans="1:6" ht="64.5" customHeight="1" x14ac:dyDescent="0.25">
      <c r="A4" s="4">
        <v>1</v>
      </c>
      <c r="B4" s="5" t="s">
        <v>39</v>
      </c>
      <c r="C4" s="42" t="s">
        <v>37</v>
      </c>
      <c r="D4" s="4" t="s">
        <v>27</v>
      </c>
      <c r="E4" s="4">
        <v>0.2</v>
      </c>
      <c r="F4" s="3"/>
    </row>
    <row r="5" spans="1:6" x14ac:dyDescent="0.25">
      <c r="A5" s="6"/>
      <c r="B5" s="7"/>
      <c r="C5" s="39" t="s">
        <v>18</v>
      </c>
      <c r="D5" s="6"/>
      <c r="E5" s="6"/>
      <c r="F5" s="9"/>
    </row>
    <row r="6" spans="1:6" x14ac:dyDescent="0.25">
      <c r="A6" s="6"/>
      <c r="B6" s="7"/>
      <c r="C6" s="8" t="s">
        <v>7</v>
      </c>
      <c r="D6" s="6" t="s">
        <v>20</v>
      </c>
      <c r="E6" s="6">
        <v>0.01</v>
      </c>
      <c r="F6" s="9"/>
    </row>
    <row r="7" spans="1:6" x14ac:dyDescent="0.25">
      <c r="A7" s="6"/>
      <c r="B7" s="7"/>
      <c r="C7" s="10" t="s">
        <v>8</v>
      </c>
      <c r="D7" s="11" t="s">
        <v>21</v>
      </c>
      <c r="E7" s="6">
        <v>1.4999999999999999E-2</v>
      </c>
      <c r="F7" s="9"/>
    </row>
    <row r="8" spans="1:6" x14ac:dyDescent="0.25">
      <c r="A8" s="12"/>
      <c r="B8" s="13"/>
      <c r="C8" s="14" t="s">
        <v>19</v>
      </c>
      <c r="D8" s="15" t="s">
        <v>21</v>
      </c>
      <c r="E8" s="12">
        <v>0.01</v>
      </c>
      <c r="F8" s="16"/>
    </row>
    <row r="9" spans="1:6" ht="42.75" customHeight="1" x14ac:dyDescent="0.25">
      <c r="A9" s="17">
        <v>2</v>
      </c>
      <c r="B9" s="18" t="s">
        <v>40</v>
      </c>
      <c r="C9" s="38" t="s">
        <v>17</v>
      </c>
      <c r="D9" s="17" t="s">
        <v>28</v>
      </c>
      <c r="E9" s="17"/>
      <c r="F9" s="17">
        <v>1</v>
      </c>
    </row>
    <row r="10" spans="1:6" x14ac:dyDescent="0.25">
      <c r="A10" s="19"/>
      <c r="B10" s="20"/>
      <c r="C10" s="40" t="s">
        <v>18</v>
      </c>
      <c r="D10" s="19"/>
      <c r="E10" s="19"/>
      <c r="F10" s="19"/>
    </row>
    <row r="11" spans="1:6" x14ac:dyDescent="0.25">
      <c r="A11" s="21"/>
      <c r="B11" s="22"/>
      <c r="C11" s="23" t="s">
        <v>11</v>
      </c>
      <c r="D11" s="11" t="s">
        <v>12</v>
      </c>
      <c r="E11" s="21">
        <v>0.02</v>
      </c>
      <c r="F11" s="21"/>
    </row>
    <row r="12" spans="1:6" x14ac:dyDescent="0.25">
      <c r="A12" s="21"/>
      <c r="B12" s="22"/>
      <c r="C12" s="10" t="s">
        <v>5</v>
      </c>
      <c r="D12" s="11" t="s">
        <v>22</v>
      </c>
      <c r="E12" s="6">
        <v>0.01</v>
      </c>
      <c r="F12" s="21"/>
    </row>
    <row r="13" spans="1:6" x14ac:dyDescent="0.25">
      <c r="A13" s="21"/>
      <c r="B13" s="22"/>
      <c r="C13" s="23" t="s">
        <v>6</v>
      </c>
      <c r="D13" s="11" t="s">
        <v>29</v>
      </c>
      <c r="E13" s="41">
        <v>0.01</v>
      </c>
      <c r="F13" s="21"/>
    </row>
    <row r="14" spans="1:6" ht="33" x14ac:dyDescent="0.25">
      <c r="A14" s="21"/>
      <c r="B14" s="22"/>
      <c r="C14" s="25" t="s">
        <v>25</v>
      </c>
      <c r="D14" s="26"/>
      <c r="E14" s="27"/>
      <c r="F14" s="21"/>
    </row>
    <row r="15" spans="1:6" x14ac:dyDescent="0.25">
      <c r="A15" s="21"/>
      <c r="B15" s="22"/>
      <c r="C15" s="25" t="s">
        <v>30</v>
      </c>
      <c r="D15" s="26" t="s">
        <v>14</v>
      </c>
      <c r="E15" s="26">
        <v>0.5</v>
      </c>
      <c r="F15" s="21"/>
    </row>
    <row r="16" spans="1:6" x14ac:dyDescent="0.25">
      <c r="A16" s="21"/>
      <c r="B16" s="22"/>
      <c r="C16" s="25" t="s">
        <v>31</v>
      </c>
      <c r="D16" s="26" t="s">
        <v>14</v>
      </c>
      <c r="E16" s="26">
        <v>1</v>
      </c>
      <c r="F16" s="21"/>
    </row>
    <row r="17" spans="1:6" x14ac:dyDescent="0.25">
      <c r="A17" s="21"/>
      <c r="B17" s="22"/>
      <c r="C17" s="25" t="s">
        <v>32</v>
      </c>
      <c r="D17" s="26" t="s">
        <v>14</v>
      </c>
      <c r="E17" s="26">
        <v>2</v>
      </c>
      <c r="F17" s="21"/>
    </row>
    <row r="18" spans="1:6" x14ac:dyDescent="0.25">
      <c r="A18" s="21"/>
      <c r="B18" s="22"/>
      <c r="C18" s="25" t="s">
        <v>33</v>
      </c>
      <c r="D18" s="26" t="s">
        <v>14</v>
      </c>
      <c r="E18" s="26">
        <v>3</v>
      </c>
      <c r="F18" s="21"/>
    </row>
    <row r="19" spans="1:6" x14ac:dyDescent="0.25">
      <c r="A19" s="21"/>
      <c r="B19" s="22"/>
      <c r="C19" s="25" t="s">
        <v>34</v>
      </c>
      <c r="D19" s="26" t="s">
        <v>14</v>
      </c>
      <c r="E19" s="26">
        <v>4</v>
      </c>
      <c r="F19" s="21"/>
    </row>
    <row r="20" spans="1:6" x14ac:dyDescent="0.25">
      <c r="A20" s="21"/>
      <c r="B20" s="22"/>
      <c r="C20" s="25" t="s">
        <v>35</v>
      </c>
      <c r="D20" s="26" t="s">
        <v>14</v>
      </c>
      <c r="E20" s="26">
        <v>5</v>
      </c>
      <c r="F20" s="21"/>
    </row>
    <row r="21" spans="1:6" x14ac:dyDescent="0.25">
      <c r="A21" s="21"/>
      <c r="B21" s="22"/>
      <c r="C21" s="25" t="s">
        <v>36</v>
      </c>
      <c r="D21" s="26" t="s">
        <v>14</v>
      </c>
      <c r="E21" s="26">
        <v>6</v>
      </c>
      <c r="F21" s="21"/>
    </row>
    <row r="22" spans="1:6" x14ac:dyDescent="0.25">
      <c r="A22" s="21"/>
      <c r="B22" s="22"/>
      <c r="C22" s="43" t="s">
        <v>15</v>
      </c>
      <c r="D22" s="44" t="s">
        <v>23</v>
      </c>
      <c r="E22" s="44">
        <v>1</v>
      </c>
      <c r="F22" s="21"/>
    </row>
    <row r="23" spans="1:6" ht="33" x14ac:dyDescent="0.25">
      <c r="A23" s="19">
        <v>3</v>
      </c>
      <c r="B23" s="28" t="s">
        <v>13</v>
      </c>
      <c r="C23" s="29" t="s">
        <v>26</v>
      </c>
      <c r="D23" s="19"/>
      <c r="E23" s="19">
        <v>0.2</v>
      </c>
      <c r="F23" s="19"/>
    </row>
    <row r="24" spans="1:6" x14ac:dyDescent="0.25">
      <c r="A24" s="24"/>
      <c r="B24" s="24"/>
      <c r="C24" s="30" t="s">
        <v>18</v>
      </c>
      <c r="D24" s="6"/>
      <c r="E24" s="6"/>
      <c r="F24" s="24"/>
    </row>
    <row r="25" spans="1:6" x14ac:dyDescent="0.25">
      <c r="A25" s="24"/>
      <c r="B25" s="24"/>
      <c r="C25" s="8" t="s">
        <v>7</v>
      </c>
      <c r="D25" s="6" t="s">
        <v>20</v>
      </c>
      <c r="E25" s="6">
        <v>0.01</v>
      </c>
      <c r="F25" s="24"/>
    </row>
    <row r="26" spans="1:6" x14ac:dyDescent="0.25">
      <c r="A26" s="24"/>
      <c r="B26" s="24"/>
      <c r="C26" s="10" t="s">
        <v>8</v>
      </c>
      <c r="D26" s="11" t="s">
        <v>21</v>
      </c>
      <c r="E26" s="6">
        <v>1.4999999999999999E-2</v>
      </c>
      <c r="F26" s="24"/>
    </row>
    <row r="27" spans="1:6" x14ac:dyDescent="0.25">
      <c r="A27" s="24"/>
      <c r="B27" s="24"/>
      <c r="C27" s="8" t="s">
        <v>19</v>
      </c>
      <c r="D27" s="11" t="s">
        <v>21</v>
      </c>
      <c r="E27" s="6">
        <v>0.01</v>
      </c>
      <c r="F27" s="24"/>
    </row>
    <row r="28" spans="1:6" x14ac:dyDescent="0.25">
      <c r="A28" s="24"/>
      <c r="B28" s="24"/>
      <c r="C28" s="10" t="s">
        <v>5</v>
      </c>
      <c r="D28" s="11" t="s">
        <v>22</v>
      </c>
      <c r="E28" s="6">
        <v>0.01</v>
      </c>
      <c r="F28" s="24"/>
    </row>
    <row r="29" spans="1:6" x14ac:dyDescent="0.25">
      <c r="A29" s="24"/>
      <c r="B29" s="24"/>
      <c r="C29" s="23" t="s">
        <v>9</v>
      </c>
      <c r="D29" s="31" t="s">
        <v>12</v>
      </c>
      <c r="E29" s="32">
        <v>0.02</v>
      </c>
      <c r="F29" s="24"/>
    </row>
    <row r="30" spans="1:6" x14ac:dyDescent="0.25">
      <c r="A30" s="33"/>
      <c r="B30" s="33"/>
      <c r="C30" s="34" t="s">
        <v>10</v>
      </c>
      <c r="D30" s="35" t="s">
        <v>12</v>
      </c>
      <c r="E30" s="36">
        <v>0.02</v>
      </c>
      <c r="F30" s="33"/>
    </row>
  </sheetData>
  <mergeCells count="6">
    <mergeCell ref="C1:F1"/>
    <mergeCell ref="A2:A3"/>
    <mergeCell ref="B2:B3"/>
    <mergeCell ref="C2:C3"/>
    <mergeCell ref="D2:D3"/>
    <mergeCell ref="E2:F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10" workbookViewId="0">
      <selection activeCell="I28" sqref="I28"/>
    </sheetView>
  </sheetViews>
  <sheetFormatPr defaultRowHeight="15.75" x14ac:dyDescent="0.25"/>
  <cols>
    <col min="1" max="1" width="4.75" style="69" bestFit="1" customWidth="1"/>
    <col min="2" max="2" width="28.125" customWidth="1"/>
    <col min="3" max="3" width="25.875" customWidth="1"/>
    <col min="4" max="4" width="6.25" customWidth="1"/>
    <col min="5" max="5" width="9" style="69"/>
    <col min="6" max="6" width="9" style="110"/>
    <col min="7" max="7" width="9.875" style="110" bestFit="1" customWidth="1"/>
  </cols>
  <sheetData>
    <row r="1" spans="1:7" ht="49.5" x14ac:dyDescent="0.25">
      <c r="A1" s="64" t="s">
        <v>0</v>
      </c>
      <c r="B1" s="64" t="s">
        <v>1</v>
      </c>
      <c r="C1" s="65" t="s">
        <v>16</v>
      </c>
      <c r="D1" s="65" t="s">
        <v>4</v>
      </c>
      <c r="E1" s="65" t="s">
        <v>77</v>
      </c>
      <c r="F1" s="105" t="s">
        <v>78</v>
      </c>
      <c r="G1" s="105" t="s">
        <v>79</v>
      </c>
    </row>
    <row r="2" spans="1:7" ht="82.5" x14ac:dyDescent="0.25">
      <c r="A2" s="216">
        <v>1</v>
      </c>
      <c r="B2" s="54" t="str">
        <f>PA!B4</f>
        <v>Kiểm tra lại ranh giới, hiện trạng sử dụng khu đất và phối hợp với địa phương xử lý một số vướng mắc phát sinh (nếu có)</v>
      </c>
      <c r="C2" s="183"/>
      <c r="D2" s="183"/>
      <c r="E2" s="184"/>
      <c r="F2" s="185"/>
      <c r="G2" s="185"/>
    </row>
    <row r="3" spans="1:7" ht="33" x14ac:dyDescent="0.25">
      <c r="A3" s="182"/>
      <c r="B3" s="75"/>
      <c r="C3" s="42" t="s">
        <v>45</v>
      </c>
      <c r="D3" s="338" t="s">
        <v>187</v>
      </c>
      <c r="E3" s="207">
        <v>2</v>
      </c>
      <c r="F3" s="192">
        <f>Luong!H11+Luong!H14</f>
        <v>569430</v>
      </c>
      <c r="G3" s="192">
        <f>ROUND(E3*F3,0)</f>
        <v>1138860</v>
      </c>
    </row>
    <row r="4" spans="1:7" ht="16.5" x14ac:dyDescent="0.25">
      <c r="A4" s="193"/>
      <c r="B4" s="76"/>
      <c r="C4" s="39" t="s">
        <v>18</v>
      </c>
      <c r="D4" s="21"/>
      <c r="E4" s="21"/>
      <c r="F4" s="212"/>
      <c r="G4" s="212">
        <f>SUM(G5:G7)</f>
        <v>102000</v>
      </c>
    </row>
    <row r="5" spans="1:7" ht="16.5" x14ac:dyDescent="0.25">
      <c r="A5" s="193"/>
      <c r="B5" s="76"/>
      <c r="C5" s="23" t="s">
        <v>11</v>
      </c>
      <c r="D5" s="11" t="s">
        <v>12</v>
      </c>
      <c r="E5" s="21">
        <v>1</v>
      </c>
      <c r="F5" s="195">
        <v>80000</v>
      </c>
      <c r="G5" s="195">
        <f>ROUND(E5*F5,0)</f>
        <v>80000</v>
      </c>
    </row>
    <row r="6" spans="1:7" ht="16.5" x14ac:dyDescent="0.25">
      <c r="A6" s="193"/>
      <c r="B6" s="76"/>
      <c r="C6" s="10" t="s">
        <v>5</v>
      </c>
      <c r="D6" s="11" t="s">
        <v>22</v>
      </c>
      <c r="E6" s="6">
        <v>1</v>
      </c>
      <c r="F6" s="195">
        <v>2000</v>
      </c>
      <c r="G6" s="195">
        <f>ROUND(E6*F6,0)</f>
        <v>2000</v>
      </c>
    </row>
    <row r="7" spans="1:7" ht="16.5" x14ac:dyDescent="0.25">
      <c r="A7" s="213"/>
      <c r="B7" s="78"/>
      <c r="C7" s="23" t="s">
        <v>6</v>
      </c>
      <c r="D7" s="15" t="s">
        <v>29</v>
      </c>
      <c r="E7" s="214">
        <v>1</v>
      </c>
      <c r="F7" s="215">
        <v>20000</v>
      </c>
      <c r="G7" s="215">
        <f>ROUND(E7*F7,0)</f>
        <v>20000</v>
      </c>
    </row>
    <row r="8" spans="1:7" ht="33" x14ac:dyDescent="0.25">
      <c r="A8" s="182"/>
      <c r="B8" s="75"/>
      <c r="C8" s="25" t="s">
        <v>25</v>
      </c>
      <c r="D8" s="190"/>
      <c r="E8" s="191"/>
      <c r="F8" s="192"/>
      <c r="G8" s="192"/>
    </row>
    <row r="9" spans="1:7" ht="18.75" x14ac:dyDescent="0.25">
      <c r="A9" s="193"/>
      <c r="B9" s="76"/>
      <c r="C9" s="293" t="s">
        <v>154</v>
      </c>
      <c r="D9" s="194" t="s">
        <v>14</v>
      </c>
      <c r="E9" s="26">
        <v>0</v>
      </c>
      <c r="F9" s="195"/>
      <c r="G9" s="195">
        <f t="shared" ref="G9:G17" si="0">ROUND(E9*F9,0)</f>
        <v>0</v>
      </c>
    </row>
    <row r="10" spans="1:7" ht="18.75" x14ac:dyDescent="0.25">
      <c r="A10" s="193"/>
      <c r="B10" s="76"/>
      <c r="C10" s="293" t="s">
        <v>155</v>
      </c>
      <c r="D10" s="194" t="s">
        <v>14</v>
      </c>
      <c r="E10" s="26">
        <v>1</v>
      </c>
      <c r="F10" s="195">
        <v>21350</v>
      </c>
      <c r="G10" s="195">
        <f t="shared" si="0"/>
        <v>21350</v>
      </c>
    </row>
    <row r="11" spans="1:7" ht="18.75" x14ac:dyDescent="0.25">
      <c r="A11" s="193"/>
      <c r="B11" s="76"/>
      <c r="C11" s="293" t="s">
        <v>156</v>
      </c>
      <c r="D11" s="194" t="s">
        <v>14</v>
      </c>
      <c r="E11" s="26">
        <v>1.4</v>
      </c>
      <c r="F11" s="195">
        <v>21350</v>
      </c>
      <c r="G11" s="195">
        <f t="shared" si="0"/>
        <v>29890</v>
      </c>
    </row>
    <row r="12" spans="1:7" ht="18.75" x14ac:dyDescent="0.25">
      <c r="A12" s="193"/>
      <c r="B12" s="76"/>
      <c r="C12" s="293" t="s">
        <v>157</v>
      </c>
      <c r="D12" s="194" t="s">
        <v>14</v>
      </c>
      <c r="E12" s="26">
        <v>1.9</v>
      </c>
      <c r="F12" s="195">
        <v>21350</v>
      </c>
      <c r="G12" s="195">
        <f t="shared" si="0"/>
        <v>40565</v>
      </c>
    </row>
    <row r="13" spans="1:7" ht="18.75" x14ac:dyDescent="0.25">
      <c r="A13" s="193"/>
      <c r="B13" s="76"/>
      <c r="C13" s="293" t="s">
        <v>158</v>
      </c>
      <c r="D13" s="194" t="s">
        <v>14</v>
      </c>
      <c r="E13" s="26">
        <v>2</v>
      </c>
      <c r="F13" s="195">
        <v>21350</v>
      </c>
      <c r="G13" s="195">
        <f t="shared" si="0"/>
        <v>42700</v>
      </c>
    </row>
    <row r="14" spans="1:7" ht="18.75" x14ac:dyDescent="0.25">
      <c r="A14" s="193"/>
      <c r="B14" s="76"/>
      <c r="C14" s="293" t="s">
        <v>164</v>
      </c>
      <c r="D14" s="194" t="s">
        <v>14</v>
      </c>
      <c r="E14" s="26">
        <v>2.4</v>
      </c>
      <c r="F14" s="195">
        <v>21350</v>
      </c>
      <c r="G14" s="195">
        <f t="shared" si="0"/>
        <v>51240</v>
      </c>
    </row>
    <row r="15" spans="1:7" ht="18.75" x14ac:dyDescent="0.25">
      <c r="A15" s="193"/>
      <c r="B15" s="76"/>
      <c r="C15" s="293" t="s">
        <v>160</v>
      </c>
      <c r="D15" s="194" t="s">
        <v>14</v>
      </c>
      <c r="E15" s="26">
        <v>3</v>
      </c>
      <c r="F15" s="195">
        <v>21350</v>
      </c>
      <c r="G15" s="195">
        <f t="shared" si="0"/>
        <v>64050</v>
      </c>
    </row>
    <row r="16" spans="1:7" ht="18.75" x14ac:dyDescent="0.25">
      <c r="A16" s="193"/>
      <c r="B16" s="76"/>
      <c r="C16" s="293" t="s">
        <v>163</v>
      </c>
      <c r="D16" s="194" t="s">
        <v>14</v>
      </c>
      <c r="E16" s="26">
        <v>3.3</v>
      </c>
      <c r="F16" s="195">
        <v>21350</v>
      </c>
      <c r="G16" s="195">
        <f t="shared" si="0"/>
        <v>70455</v>
      </c>
    </row>
    <row r="17" spans="1:7" ht="18.75" x14ac:dyDescent="0.25">
      <c r="A17" s="193"/>
      <c r="B17" s="76"/>
      <c r="C17" s="293" t="s">
        <v>162</v>
      </c>
      <c r="D17" s="194" t="s">
        <v>14</v>
      </c>
      <c r="E17" s="26">
        <v>3.9</v>
      </c>
      <c r="F17" s="195">
        <v>21350</v>
      </c>
      <c r="G17" s="195">
        <f t="shared" si="0"/>
        <v>83265</v>
      </c>
    </row>
    <row r="18" spans="1:7" ht="16.5" x14ac:dyDescent="0.25">
      <c r="A18" s="93"/>
      <c r="B18" s="55"/>
      <c r="C18" s="177" t="s">
        <v>136</v>
      </c>
      <c r="D18" s="178"/>
      <c r="E18" s="162"/>
      <c r="F18" s="179"/>
      <c r="G18" s="108"/>
    </row>
    <row r="19" spans="1:7" ht="75" x14ac:dyDescent="0.25">
      <c r="A19" s="88"/>
      <c r="B19" s="76"/>
      <c r="C19" s="171" t="s">
        <v>134</v>
      </c>
      <c r="D19" s="180" t="s">
        <v>23</v>
      </c>
      <c r="E19" s="172">
        <v>2</v>
      </c>
      <c r="F19" s="173">
        <v>100000</v>
      </c>
      <c r="G19" s="173">
        <f>E19*F19</f>
        <v>200000</v>
      </c>
    </row>
    <row r="20" spans="1:7" ht="33" x14ac:dyDescent="0.25">
      <c r="A20" s="88"/>
      <c r="B20" s="76"/>
      <c r="C20" s="174" t="s">
        <v>135</v>
      </c>
      <c r="D20" s="166" t="s">
        <v>23</v>
      </c>
      <c r="E20" s="175">
        <v>2</v>
      </c>
      <c r="F20" s="176">
        <v>80000</v>
      </c>
      <c r="G20" s="176">
        <f>E20*F20</f>
        <v>160000</v>
      </c>
    </row>
    <row r="21" spans="1:7" ht="33" x14ac:dyDescent="0.25">
      <c r="A21" s="90">
        <v>2</v>
      </c>
      <c r="B21" s="92" t="str">
        <f>PA!B20</f>
        <v>Thu thập, rà soát hồ sơ, cơ sở pháp lý để lập Phương án</v>
      </c>
      <c r="C21" s="42"/>
      <c r="D21" s="72"/>
      <c r="E21" s="72"/>
      <c r="F21" s="169"/>
      <c r="G21" s="115"/>
    </row>
    <row r="22" spans="1:7" ht="16.5" x14ac:dyDescent="0.25">
      <c r="A22" s="88"/>
      <c r="B22" s="167"/>
      <c r="C22" s="209" t="s">
        <v>141</v>
      </c>
      <c r="D22" s="338" t="s">
        <v>187</v>
      </c>
      <c r="E22" s="21">
        <v>6</v>
      </c>
      <c r="F22" s="168">
        <f>Luong!H13</f>
        <v>284715</v>
      </c>
      <c r="G22" s="168">
        <f>ROUND(E22*F22,0)</f>
        <v>1708290</v>
      </c>
    </row>
    <row r="23" spans="1:7" ht="16.5" x14ac:dyDescent="0.25">
      <c r="A23" s="88"/>
      <c r="B23" s="167"/>
      <c r="C23" s="30" t="s">
        <v>18</v>
      </c>
      <c r="D23" s="6"/>
      <c r="E23" s="6"/>
      <c r="F23" s="168"/>
      <c r="G23" s="168">
        <f>SUM(G24:G27)</f>
        <v>204500</v>
      </c>
    </row>
    <row r="24" spans="1:7" ht="16.5" x14ac:dyDescent="0.25">
      <c r="A24" s="88"/>
      <c r="B24" s="167"/>
      <c r="C24" s="8" t="s">
        <v>7</v>
      </c>
      <c r="D24" s="6" t="s">
        <v>20</v>
      </c>
      <c r="E24" s="6">
        <v>0.4</v>
      </c>
      <c r="F24" s="107">
        <v>75000</v>
      </c>
      <c r="G24" s="195">
        <f>ROUND(E24*F24,0)</f>
        <v>30000</v>
      </c>
    </row>
    <row r="25" spans="1:7" ht="16.5" x14ac:dyDescent="0.25">
      <c r="A25" s="88"/>
      <c r="B25" s="167"/>
      <c r="C25" s="10" t="s">
        <v>8</v>
      </c>
      <c r="D25" s="11" t="s">
        <v>21</v>
      </c>
      <c r="E25" s="6">
        <v>0.2</v>
      </c>
      <c r="F25" s="107">
        <v>850000</v>
      </c>
      <c r="G25" s="195">
        <f>ROUND(E25*F25,0)</f>
        <v>170000</v>
      </c>
    </row>
    <row r="26" spans="1:7" ht="16.5" x14ac:dyDescent="0.25">
      <c r="A26" s="88"/>
      <c r="B26" s="167"/>
      <c r="C26" s="8" t="s">
        <v>19</v>
      </c>
      <c r="D26" s="11" t="s">
        <v>21</v>
      </c>
      <c r="E26" s="6">
        <v>0.5</v>
      </c>
      <c r="F26" s="107">
        <v>5000</v>
      </c>
      <c r="G26" s="195">
        <f>ROUND(E26*F26,0)</f>
        <v>2500</v>
      </c>
    </row>
    <row r="27" spans="1:7" ht="16.5" x14ac:dyDescent="0.25">
      <c r="A27" s="88"/>
      <c r="B27" s="167"/>
      <c r="C27" s="46" t="s">
        <v>5</v>
      </c>
      <c r="D27" s="15" t="s">
        <v>22</v>
      </c>
      <c r="E27" s="12">
        <v>1</v>
      </c>
      <c r="F27" s="107">
        <v>2000</v>
      </c>
      <c r="G27" s="195">
        <f>ROUND(E27*F27,0)</f>
        <v>2000</v>
      </c>
    </row>
    <row r="28" spans="1:7" ht="33" x14ac:dyDescent="0.25">
      <c r="A28" s="674">
        <v>3</v>
      </c>
      <c r="B28" s="54" t="str">
        <f>PA!B26</f>
        <v>Dự thảo Phương án lấy ý kiến các sở, ngành liên quan</v>
      </c>
      <c r="C28" s="83"/>
      <c r="D28" s="68"/>
      <c r="E28" s="68"/>
      <c r="F28" s="108"/>
      <c r="G28" s="125"/>
    </row>
    <row r="29" spans="1:7" ht="33" x14ac:dyDescent="0.25">
      <c r="A29" s="675"/>
      <c r="B29" s="81"/>
      <c r="C29" s="42" t="s">
        <v>149</v>
      </c>
      <c r="D29" s="19" t="s">
        <v>44</v>
      </c>
      <c r="E29" s="19">
        <v>6</v>
      </c>
      <c r="F29" s="168">
        <f>Luong!H11+Luong!H13+Luong!H14</f>
        <v>854145</v>
      </c>
      <c r="G29" s="168">
        <f>ROUND(E29*F29,0)</f>
        <v>5124870</v>
      </c>
    </row>
    <row r="30" spans="1:7" ht="16.5" x14ac:dyDescent="0.25">
      <c r="A30" s="675"/>
      <c r="B30" s="81"/>
      <c r="C30" s="30" t="s">
        <v>18</v>
      </c>
      <c r="D30" s="6"/>
      <c r="E30" s="6"/>
      <c r="F30" s="107"/>
      <c r="G30" s="168">
        <f>SUM(G31:G34)</f>
        <v>549500</v>
      </c>
    </row>
    <row r="31" spans="1:7" ht="16.5" x14ac:dyDescent="0.25">
      <c r="A31" s="675"/>
      <c r="B31" s="81"/>
      <c r="C31" s="8" t="s">
        <v>7</v>
      </c>
      <c r="D31" s="6" t="s">
        <v>20</v>
      </c>
      <c r="E31" s="6">
        <v>1.5</v>
      </c>
      <c r="F31" s="107">
        <v>75000</v>
      </c>
      <c r="G31" s="115">
        <f t="shared" ref="G31:G44" si="1">ROUND(E31*F31,0)</f>
        <v>112500</v>
      </c>
    </row>
    <row r="32" spans="1:7" ht="16.5" x14ac:dyDescent="0.25">
      <c r="A32" s="699"/>
      <c r="B32" s="81"/>
      <c r="C32" s="10" t="s">
        <v>8</v>
      </c>
      <c r="D32" s="11" t="s">
        <v>21</v>
      </c>
      <c r="E32" s="6">
        <v>0.5</v>
      </c>
      <c r="F32" s="107">
        <v>850000</v>
      </c>
      <c r="G32" s="115">
        <f t="shared" si="1"/>
        <v>425000</v>
      </c>
    </row>
    <row r="33" spans="1:7" ht="16.5" x14ac:dyDescent="0.25">
      <c r="A33" s="87"/>
      <c r="B33" s="81"/>
      <c r="C33" s="8" t="s">
        <v>19</v>
      </c>
      <c r="D33" s="11" t="s">
        <v>21</v>
      </c>
      <c r="E33" s="6">
        <v>2</v>
      </c>
      <c r="F33" s="107">
        <v>5000</v>
      </c>
      <c r="G33" s="115">
        <f t="shared" si="1"/>
        <v>10000</v>
      </c>
    </row>
    <row r="34" spans="1:7" ht="16.5" x14ac:dyDescent="0.25">
      <c r="A34" s="87"/>
      <c r="B34" s="81"/>
      <c r="C34" s="46" t="s">
        <v>5</v>
      </c>
      <c r="D34" s="15" t="s">
        <v>22</v>
      </c>
      <c r="E34" s="12">
        <v>1</v>
      </c>
      <c r="F34" s="107">
        <v>2000</v>
      </c>
      <c r="G34" s="115">
        <f t="shared" si="1"/>
        <v>2000</v>
      </c>
    </row>
    <row r="35" spans="1:7" ht="33" x14ac:dyDescent="0.25">
      <c r="A35" s="674">
        <v>4</v>
      </c>
      <c r="B35" s="54" t="str">
        <f>PA!B32</f>
        <v>Tổng hợp ý kiến, hoàn chỉnh phương án</v>
      </c>
      <c r="C35" s="83"/>
      <c r="D35" s="72"/>
      <c r="E35" s="72"/>
      <c r="F35" s="106"/>
      <c r="G35" s="127"/>
    </row>
    <row r="36" spans="1:7" ht="49.5" x14ac:dyDescent="0.25">
      <c r="A36" s="675"/>
      <c r="B36" s="81"/>
      <c r="C36" s="42" t="s">
        <v>169</v>
      </c>
      <c r="D36" s="338" t="s">
        <v>187</v>
      </c>
      <c r="E36" s="19">
        <v>3</v>
      </c>
      <c r="F36" s="127">
        <f>(Luong!H11+Luong!H12+Luong!H13+Luong!H15)</f>
        <v>1167075</v>
      </c>
      <c r="G36" s="127">
        <f>ROUND(E36*F36,0)</f>
        <v>3501225</v>
      </c>
    </row>
    <row r="37" spans="1:7" ht="16.5" x14ac:dyDescent="0.25">
      <c r="A37" s="675"/>
      <c r="B37" s="81"/>
      <c r="C37" s="30" t="s">
        <v>18</v>
      </c>
      <c r="D37" s="6"/>
      <c r="E37" s="6"/>
      <c r="F37" s="107"/>
      <c r="G37" s="168">
        <f>SUM(G38:G39)</f>
        <v>292500</v>
      </c>
    </row>
    <row r="38" spans="1:7" ht="16.5" x14ac:dyDescent="0.25">
      <c r="A38" s="675"/>
      <c r="B38" s="81"/>
      <c r="C38" s="8" t="s">
        <v>7</v>
      </c>
      <c r="D38" s="6" t="s">
        <v>20</v>
      </c>
      <c r="E38" s="6">
        <v>0.5</v>
      </c>
      <c r="F38" s="107">
        <v>75000</v>
      </c>
      <c r="G38" s="115">
        <f t="shared" si="1"/>
        <v>37500</v>
      </c>
    </row>
    <row r="39" spans="1:7" ht="16.5" x14ac:dyDescent="0.25">
      <c r="A39" s="675"/>
      <c r="B39" s="80"/>
      <c r="C39" s="46" t="s">
        <v>8</v>
      </c>
      <c r="D39" s="15" t="s">
        <v>21</v>
      </c>
      <c r="E39" s="12">
        <v>0.3</v>
      </c>
      <c r="F39" s="107">
        <v>850000</v>
      </c>
      <c r="G39" s="116">
        <f t="shared" si="1"/>
        <v>255000</v>
      </c>
    </row>
    <row r="40" spans="1:7" ht="33" x14ac:dyDescent="0.25">
      <c r="A40" s="674">
        <v>5</v>
      </c>
      <c r="B40" s="71" t="str">
        <f>PA!B36</f>
        <v>Trình cấp thẩm quyền phê duyệt phương án</v>
      </c>
      <c r="C40" s="42"/>
      <c r="D40" s="72"/>
      <c r="E40" s="72"/>
      <c r="F40" s="106"/>
      <c r="G40" s="127"/>
    </row>
    <row r="41" spans="1:7" ht="33" x14ac:dyDescent="0.25">
      <c r="A41" s="675"/>
      <c r="B41" s="81"/>
      <c r="C41" s="120" t="s">
        <v>45</v>
      </c>
      <c r="D41" s="338" t="s">
        <v>187</v>
      </c>
      <c r="E41" s="21">
        <v>1</v>
      </c>
      <c r="F41" s="168">
        <f>(Luong!H11+Luong!H14)</f>
        <v>569430</v>
      </c>
      <c r="G41" s="168">
        <f>ROUND(E41*F41,0)</f>
        <v>569430</v>
      </c>
    </row>
    <row r="42" spans="1:7" ht="16.5" x14ac:dyDescent="0.25">
      <c r="A42" s="675"/>
      <c r="B42" s="81"/>
      <c r="C42" s="30" t="s">
        <v>18</v>
      </c>
      <c r="D42" s="6"/>
      <c r="E42" s="6"/>
      <c r="F42" s="197"/>
      <c r="G42" s="168">
        <f>SUM(G43:G44)</f>
        <v>192500</v>
      </c>
    </row>
    <row r="43" spans="1:7" ht="16.5" x14ac:dyDescent="0.25">
      <c r="A43" s="675"/>
      <c r="B43" s="81"/>
      <c r="C43" s="8" t="s">
        <v>7</v>
      </c>
      <c r="D43" s="6" t="s">
        <v>20</v>
      </c>
      <c r="E43" s="6">
        <v>0.3</v>
      </c>
      <c r="F43" s="107">
        <v>75000</v>
      </c>
      <c r="G43" s="115">
        <f t="shared" si="1"/>
        <v>22500</v>
      </c>
    </row>
    <row r="44" spans="1:7" ht="16.5" x14ac:dyDescent="0.25">
      <c r="A44" s="699"/>
      <c r="B44" s="210"/>
      <c r="C44" s="46" t="s">
        <v>8</v>
      </c>
      <c r="D44" s="15" t="s">
        <v>21</v>
      </c>
      <c r="E44" s="12">
        <v>0.2</v>
      </c>
      <c r="F44" s="211">
        <v>850000</v>
      </c>
      <c r="G44" s="116">
        <f t="shared" si="1"/>
        <v>170000</v>
      </c>
    </row>
  </sheetData>
  <mergeCells count="3">
    <mergeCell ref="A28:A32"/>
    <mergeCell ref="A35:A39"/>
    <mergeCell ref="A40:A44"/>
  </mergeCells>
  <pageMargins left="0.25" right="0.1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7"/>
  <sheetViews>
    <sheetView workbookViewId="0">
      <selection activeCell="F1" sqref="F1:G1"/>
    </sheetView>
  </sheetViews>
  <sheetFormatPr defaultRowHeight="15.75" x14ac:dyDescent="0.25"/>
  <cols>
    <col min="1" max="1" width="4.75" style="69" bestFit="1" customWidth="1"/>
    <col min="2" max="2" width="43.5" customWidth="1"/>
    <col min="3" max="3" width="25.375" customWidth="1"/>
    <col min="4" max="4" width="6.25" customWidth="1"/>
    <col min="5" max="5" width="9" style="69"/>
    <col min="6" max="6" width="9" style="110"/>
    <col min="7" max="7" width="9.875" style="110" bestFit="1" customWidth="1"/>
  </cols>
  <sheetData>
    <row r="1" spans="1:7" ht="45" customHeight="1" x14ac:dyDescent="0.25">
      <c r="A1" s="52" t="s">
        <v>0</v>
      </c>
      <c r="B1" s="52" t="s">
        <v>1</v>
      </c>
      <c r="C1" s="53" t="s">
        <v>16</v>
      </c>
      <c r="D1" s="53" t="s">
        <v>4</v>
      </c>
      <c r="E1" s="53" t="s">
        <v>77</v>
      </c>
      <c r="F1" s="105" t="s">
        <v>78</v>
      </c>
      <c r="G1" s="105" t="s">
        <v>79</v>
      </c>
    </row>
    <row r="2" spans="1:7" ht="49.5" x14ac:dyDescent="0.25">
      <c r="A2" s="216">
        <v>1</v>
      </c>
      <c r="B2" s="54" t="str">
        <f>PA!B4</f>
        <v>Kiểm tra lại ranh giới, hiện trạng sử dụng khu đất và phối hợp với địa phương xử lý một số vướng mắc phát sinh (nếu có)</v>
      </c>
      <c r="C2" s="183"/>
      <c r="D2" s="183"/>
      <c r="E2" s="184"/>
      <c r="F2" s="185"/>
      <c r="G2" s="185"/>
    </row>
    <row r="3" spans="1:7" ht="33" x14ac:dyDescent="0.25">
      <c r="A3" s="182"/>
      <c r="B3" s="75"/>
      <c r="C3" s="42" t="s">
        <v>45</v>
      </c>
      <c r="D3" s="338" t="s">
        <v>187</v>
      </c>
      <c r="E3" s="207">
        <v>2</v>
      </c>
      <c r="F3" s="192">
        <f>Luong!H11+Luong!H14</f>
        <v>569430</v>
      </c>
      <c r="G3" s="192">
        <f>ROUND(E3*F3,0)</f>
        <v>1138860</v>
      </c>
    </row>
    <row r="4" spans="1:7" ht="20.100000000000001" customHeight="1" x14ac:dyDescent="0.25">
      <c r="A4" s="193"/>
      <c r="B4" s="76"/>
      <c r="C4" s="39" t="s">
        <v>18</v>
      </c>
      <c r="D4" s="21"/>
      <c r="E4" s="21"/>
      <c r="F4" s="212"/>
      <c r="G4" s="212">
        <f>SUM(G5:G7)</f>
        <v>102000</v>
      </c>
    </row>
    <row r="5" spans="1:7" ht="20.100000000000001" customHeight="1" x14ac:dyDescent="0.25">
      <c r="A5" s="193"/>
      <c r="B5" s="76"/>
      <c r="C5" s="23" t="s">
        <v>11</v>
      </c>
      <c r="D5" s="11" t="s">
        <v>12</v>
      </c>
      <c r="E5" s="21">
        <v>1</v>
      </c>
      <c r="F5" s="195">
        <v>80000</v>
      </c>
      <c r="G5" s="195">
        <f>ROUND(E5*F5,0)</f>
        <v>80000</v>
      </c>
    </row>
    <row r="6" spans="1:7" ht="20.100000000000001" customHeight="1" x14ac:dyDescent="0.25">
      <c r="A6" s="193"/>
      <c r="B6" s="76"/>
      <c r="C6" s="10" t="s">
        <v>5</v>
      </c>
      <c r="D6" s="11" t="s">
        <v>22</v>
      </c>
      <c r="E6" s="6">
        <v>1</v>
      </c>
      <c r="F6" s="195">
        <v>2000</v>
      </c>
      <c r="G6" s="195">
        <f>ROUND(E6*F6,0)</f>
        <v>2000</v>
      </c>
    </row>
    <row r="7" spans="1:7" ht="20.100000000000001" customHeight="1" x14ac:dyDescent="0.25">
      <c r="A7" s="213"/>
      <c r="B7" s="78"/>
      <c r="C7" s="23" t="s">
        <v>6</v>
      </c>
      <c r="D7" s="15" t="s">
        <v>29</v>
      </c>
      <c r="E7" s="214">
        <v>1</v>
      </c>
      <c r="F7" s="215">
        <v>20000</v>
      </c>
      <c r="G7" s="215">
        <f>ROUND(E7*F7,0)</f>
        <v>20000</v>
      </c>
    </row>
    <row r="8" spans="1:7" ht="33" x14ac:dyDescent="0.25">
      <c r="A8" s="182"/>
      <c r="B8" s="75"/>
      <c r="C8" s="25" t="s">
        <v>25</v>
      </c>
      <c r="D8" s="190"/>
      <c r="E8" s="191"/>
      <c r="F8" s="192"/>
      <c r="G8" s="192"/>
    </row>
    <row r="9" spans="1:7" ht="20.100000000000001" customHeight="1" x14ac:dyDescent="0.25">
      <c r="A9" s="193"/>
      <c r="B9" s="76"/>
      <c r="C9" s="293" t="s">
        <v>154</v>
      </c>
      <c r="D9" s="194" t="s">
        <v>14</v>
      </c>
      <c r="E9" s="26">
        <v>0</v>
      </c>
      <c r="F9" s="195"/>
      <c r="G9" s="195">
        <f t="shared" ref="G9:G17" si="0">ROUND(E9*F9,0)</f>
        <v>0</v>
      </c>
    </row>
    <row r="10" spans="1:7" ht="20.100000000000001" customHeight="1" x14ac:dyDescent="0.25">
      <c r="A10" s="193"/>
      <c r="B10" s="76"/>
      <c r="C10" s="293" t="s">
        <v>155</v>
      </c>
      <c r="D10" s="194" t="s">
        <v>14</v>
      </c>
      <c r="E10" s="26">
        <v>1</v>
      </c>
      <c r="F10" s="195">
        <v>21350</v>
      </c>
      <c r="G10" s="195">
        <f t="shared" si="0"/>
        <v>21350</v>
      </c>
    </row>
    <row r="11" spans="1:7" ht="20.100000000000001" customHeight="1" x14ac:dyDescent="0.25">
      <c r="A11" s="193"/>
      <c r="B11" s="76"/>
      <c r="C11" s="293" t="s">
        <v>156</v>
      </c>
      <c r="D11" s="194" t="s">
        <v>14</v>
      </c>
      <c r="E11" s="26">
        <v>1.4</v>
      </c>
      <c r="F11" s="195">
        <v>21350</v>
      </c>
      <c r="G11" s="195">
        <f t="shared" si="0"/>
        <v>29890</v>
      </c>
    </row>
    <row r="12" spans="1:7" ht="20.100000000000001" customHeight="1" x14ac:dyDescent="0.25">
      <c r="A12" s="193"/>
      <c r="B12" s="76"/>
      <c r="C12" s="293" t="s">
        <v>157</v>
      </c>
      <c r="D12" s="194" t="s">
        <v>14</v>
      </c>
      <c r="E12" s="26">
        <v>1.9</v>
      </c>
      <c r="F12" s="195">
        <v>21350</v>
      </c>
      <c r="G12" s="195">
        <f t="shared" si="0"/>
        <v>40565</v>
      </c>
    </row>
    <row r="13" spans="1:7" ht="20.100000000000001" customHeight="1" x14ac:dyDescent="0.25">
      <c r="A13" s="193"/>
      <c r="B13" s="76"/>
      <c r="C13" s="293" t="s">
        <v>158</v>
      </c>
      <c r="D13" s="194" t="s">
        <v>14</v>
      </c>
      <c r="E13" s="26">
        <v>2</v>
      </c>
      <c r="F13" s="195">
        <v>21350</v>
      </c>
      <c r="G13" s="195">
        <f t="shared" si="0"/>
        <v>42700</v>
      </c>
    </row>
    <row r="14" spans="1:7" ht="20.100000000000001" customHeight="1" x14ac:dyDescent="0.25">
      <c r="A14" s="193"/>
      <c r="B14" s="76"/>
      <c r="C14" s="293" t="s">
        <v>164</v>
      </c>
      <c r="D14" s="194" t="s">
        <v>14</v>
      </c>
      <c r="E14" s="26">
        <v>2.4</v>
      </c>
      <c r="F14" s="195">
        <v>21350</v>
      </c>
      <c r="G14" s="195">
        <f t="shared" si="0"/>
        <v>51240</v>
      </c>
    </row>
    <row r="15" spans="1:7" ht="20.100000000000001" customHeight="1" x14ac:dyDescent="0.25">
      <c r="A15" s="193"/>
      <c r="B15" s="76"/>
      <c r="C15" s="293" t="s">
        <v>160</v>
      </c>
      <c r="D15" s="194" t="s">
        <v>14</v>
      </c>
      <c r="E15" s="26">
        <v>3</v>
      </c>
      <c r="F15" s="195">
        <v>21350</v>
      </c>
      <c r="G15" s="195">
        <f t="shared" si="0"/>
        <v>64050</v>
      </c>
    </row>
    <row r="16" spans="1:7" ht="20.100000000000001" customHeight="1" x14ac:dyDescent="0.25">
      <c r="A16" s="193"/>
      <c r="B16" s="76"/>
      <c r="C16" s="293" t="s">
        <v>163</v>
      </c>
      <c r="D16" s="194" t="s">
        <v>14</v>
      </c>
      <c r="E16" s="26">
        <v>3.3</v>
      </c>
      <c r="F16" s="195">
        <v>21350</v>
      </c>
      <c r="G16" s="195">
        <f t="shared" si="0"/>
        <v>70455</v>
      </c>
    </row>
    <row r="17" spans="1:7" ht="20.100000000000001" customHeight="1" x14ac:dyDescent="0.25">
      <c r="A17" s="193"/>
      <c r="B17" s="76"/>
      <c r="C17" s="293" t="s">
        <v>162</v>
      </c>
      <c r="D17" s="194" t="s">
        <v>14</v>
      </c>
      <c r="E17" s="26">
        <v>3.9</v>
      </c>
      <c r="F17" s="195">
        <v>21350</v>
      </c>
      <c r="G17" s="195">
        <f t="shared" si="0"/>
        <v>83265</v>
      </c>
    </row>
    <row r="18" spans="1:7" ht="20.100000000000001" customHeight="1" x14ac:dyDescent="0.25">
      <c r="A18" s="93"/>
      <c r="B18" s="55"/>
      <c r="C18" s="177" t="s">
        <v>136</v>
      </c>
      <c r="D18" s="178"/>
      <c r="E18" s="162"/>
      <c r="F18" s="179"/>
      <c r="G18" s="108"/>
    </row>
    <row r="19" spans="1:7" ht="75" x14ac:dyDescent="0.25">
      <c r="A19" s="297"/>
      <c r="B19" s="76"/>
      <c r="C19" s="171" t="s">
        <v>134</v>
      </c>
      <c r="D19" s="180" t="s">
        <v>23</v>
      </c>
      <c r="E19" s="172">
        <v>2</v>
      </c>
      <c r="F19" s="173">
        <v>100000</v>
      </c>
      <c r="G19" s="173">
        <f>E19*F19</f>
        <v>200000</v>
      </c>
    </row>
    <row r="20" spans="1:7" ht="33" x14ac:dyDescent="0.25">
      <c r="A20" s="297"/>
      <c r="B20" s="76"/>
      <c r="C20" s="174" t="s">
        <v>135</v>
      </c>
      <c r="D20" s="166" t="s">
        <v>23</v>
      </c>
      <c r="E20" s="175">
        <v>2</v>
      </c>
      <c r="F20" s="176">
        <v>80000</v>
      </c>
      <c r="G20" s="176">
        <f>E20*F20</f>
        <v>160000</v>
      </c>
    </row>
    <row r="21" spans="1:7" ht="20.100000000000001" customHeight="1" x14ac:dyDescent="0.25">
      <c r="A21" s="296">
        <v>2</v>
      </c>
      <c r="B21" s="92" t="str">
        <f>PA!B20</f>
        <v>Thu thập, rà soát hồ sơ, cơ sở pháp lý để lập Phương án</v>
      </c>
      <c r="C21" s="42"/>
      <c r="D21" s="72"/>
      <c r="E21" s="72"/>
      <c r="F21" s="169"/>
      <c r="G21" s="115"/>
    </row>
    <row r="22" spans="1:7" ht="20.100000000000001" customHeight="1" x14ac:dyDescent="0.25">
      <c r="A22" s="297"/>
      <c r="B22" s="167"/>
      <c r="C22" s="209" t="s">
        <v>141</v>
      </c>
      <c r="D22" s="338" t="s">
        <v>187</v>
      </c>
      <c r="E22" s="21">
        <v>6</v>
      </c>
      <c r="F22" s="168">
        <f>Luong!H13</f>
        <v>284715</v>
      </c>
      <c r="G22" s="168">
        <f>ROUND(E22*F22,0)</f>
        <v>1708290</v>
      </c>
    </row>
    <row r="23" spans="1:7" ht="20.100000000000001" customHeight="1" x14ac:dyDescent="0.25">
      <c r="A23" s="297"/>
      <c r="B23" s="167"/>
      <c r="C23" s="30" t="s">
        <v>18</v>
      </c>
      <c r="D23" s="6"/>
      <c r="E23" s="6"/>
      <c r="F23" s="168"/>
      <c r="G23" s="168">
        <f>SUM(G24:G27)</f>
        <v>204500</v>
      </c>
    </row>
    <row r="24" spans="1:7" ht="20.100000000000001" customHeight="1" x14ac:dyDescent="0.25">
      <c r="A24" s="297"/>
      <c r="B24" s="167"/>
      <c r="C24" s="8" t="s">
        <v>7</v>
      </c>
      <c r="D24" s="6" t="s">
        <v>20</v>
      </c>
      <c r="E24" s="6">
        <v>0.4</v>
      </c>
      <c r="F24" s="107">
        <v>75000</v>
      </c>
      <c r="G24" s="195">
        <f>ROUND(E24*F24,0)</f>
        <v>30000</v>
      </c>
    </row>
    <row r="25" spans="1:7" ht="20.100000000000001" customHeight="1" x14ac:dyDescent="0.25">
      <c r="A25" s="297"/>
      <c r="B25" s="167"/>
      <c r="C25" s="10" t="s">
        <v>8</v>
      </c>
      <c r="D25" s="11" t="s">
        <v>21</v>
      </c>
      <c r="E25" s="6">
        <v>0.2</v>
      </c>
      <c r="F25" s="107">
        <v>850000</v>
      </c>
      <c r="G25" s="195">
        <f>ROUND(E25*F25,0)</f>
        <v>170000</v>
      </c>
    </row>
    <row r="26" spans="1:7" ht="20.100000000000001" customHeight="1" x14ac:dyDescent="0.25">
      <c r="A26" s="297"/>
      <c r="B26" s="167"/>
      <c r="C26" s="8" t="s">
        <v>19</v>
      </c>
      <c r="D26" s="11" t="s">
        <v>21</v>
      </c>
      <c r="E26" s="6">
        <v>0.5</v>
      </c>
      <c r="F26" s="107">
        <v>5000</v>
      </c>
      <c r="G26" s="195">
        <f>ROUND(E26*F26,0)</f>
        <v>2500</v>
      </c>
    </row>
    <row r="27" spans="1:7" ht="20.100000000000001" customHeight="1" x14ac:dyDescent="0.25">
      <c r="A27" s="297"/>
      <c r="B27" s="167"/>
      <c r="C27" s="46" t="s">
        <v>5</v>
      </c>
      <c r="D27" s="15" t="s">
        <v>22</v>
      </c>
      <c r="E27" s="12">
        <v>1</v>
      </c>
      <c r="F27" s="107">
        <v>2000</v>
      </c>
      <c r="G27" s="195">
        <f>ROUND(E27*F27,0)</f>
        <v>2000</v>
      </c>
    </row>
    <row r="28" spans="1:7" ht="33" x14ac:dyDescent="0.25">
      <c r="A28" s="674">
        <v>3</v>
      </c>
      <c r="B28" s="54" t="str">
        <f>PA!B26</f>
        <v>Dự thảo Phương án lấy ý kiến các sở, ngành liên quan</v>
      </c>
      <c r="C28" s="83"/>
      <c r="D28" s="68"/>
      <c r="E28" s="68"/>
      <c r="F28" s="108"/>
      <c r="G28" s="125"/>
    </row>
    <row r="29" spans="1:7" ht="49.5" x14ac:dyDescent="0.25">
      <c r="A29" s="675"/>
      <c r="B29" s="81"/>
      <c r="C29" s="42" t="s">
        <v>149</v>
      </c>
      <c r="D29" s="338" t="s">
        <v>187</v>
      </c>
      <c r="E29" s="19">
        <v>6</v>
      </c>
      <c r="F29" s="168">
        <f>Luong!H11+Luong!H13+Luong!H14</f>
        <v>854145</v>
      </c>
      <c r="G29" s="168">
        <f>ROUND(E29*F29,0)</f>
        <v>5124870</v>
      </c>
    </row>
    <row r="30" spans="1:7" ht="20.100000000000001" customHeight="1" x14ac:dyDescent="0.25">
      <c r="A30" s="675"/>
      <c r="B30" s="81"/>
      <c r="C30" s="30" t="s">
        <v>18</v>
      </c>
      <c r="D30" s="6"/>
      <c r="E30" s="6"/>
      <c r="F30" s="107"/>
      <c r="G30" s="168">
        <f>SUM(G31:G34)</f>
        <v>549500</v>
      </c>
    </row>
    <row r="31" spans="1:7" ht="20.100000000000001" customHeight="1" x14ac:dyDescent="0.25">
      <c r="A31" s="675"/>
      <c r="B31" s="81"/>
      <c r="C31" s="8" t="s">
        <v>7</v>
      </c>
      <c r="D31" s="6" t="s">
        <v>20</v>
      </c>
      <c r="E31" s="6">
        <v>1.5</v>
      </c>
      <c r="F31" s="107">
        <v>75000</v>
      </c>
      <c r="G31" s="115">
        <f t="shared" ref="G31:G44" si="1">ROUND(E31*F31,0)</f>
        <v>112500</v>
      </c>
    </row>
    <row r="32" spans="1:7" ht="20.100000000000001" customHeight="1" x14ac:dyDescent="0.25">
      <c r="A32" s="699"/>
      <c r="B32" s="81"/>
      <c r="C32" s="10" t="s">
        <v>8</v>
      </c>
      <c r="D32" s="11" t="s">
        <v>21</v>
      </c>
      <c r="E32" s="6">
        <v>0.5</v>
      </c>
      <c r="F32" s="107">
        <v>850000</v>
      </c>
      <c r="G32" s="115">
        <f t="shared" si="1"/>
        <v>425000</v>
      </c>
    </row>
    <row r="33" spans="1:7" ht="20.100000000000001" customHeight="1" x14ac:dyDescent="0.25">
      <c r="A33" s="299"/>
      <c r="B33" s="81"/>
      <c r="C33" s="8" t="s">
        <v>19</v>
      </c>
      <c r="D33" s="11" t="s">
        <v>21</v>
      </c>
      <c r="E33" s="6">
        <v>2</v>
      </c>
      <c r="F33" s="107">
        <v>5000</v>
      </c>
      <c r="G33" s="115">
        <f t="shared" si="1"/>
        <v>10000</v>
      </c>
    </row>
    <row r="34" spans="1:7" ht="20.100000000000001" customHeight="1" x14ac:dyDescent="0.25">
      <c r="A34" s="299"/>
      <c r="B34" s="81"/>
      <c r="C34" s="46" t="s">
        <v>5</v>
      </c>
      <c r="D34" s="15" t="s">
        <v>22</v>
      </c>
      <c r="E34" s="12">
        <v>1</v>
      </c>
      <c r="F34" s="107">
        <v>2000</v>
      </c>
      <c r="G34" s="115">
        <f t="shared" si="1"/>
        <v>2000</v>
      </c>
    </row>
    <row r="35" spans="1:7" ht="20.100000000000001" customHeight="1" x14ac:dyDescent="0.25">
      <c r="A35" s="674">
        <v>4</v>
      </c>
      <c r="B35" s="54" t="str">
        <f>PA!B32</f>
        <v>Tổng hợp ý kiến, hoàn chỉnh phương án</v>
      </c>
      <c r="C35" s="83"/>
      <c r="D35" s="72"/>
      <c r="E35" s="72"/>
      <c r="F35" s="106"/>
      <c r="G35" s="127"/>
    </row>
    <row r="36" spans="1:7" ht="49.5" x14ac:dyDescent="0.25">
      <c r="A36" s="675"/>
      <c r="B36" s="81"/>
      <c r="C36" s="42" t="s">
        <v>169</v>
      </c>
      <c r="D36" s="338" t="s">
        <v>187</v>
      </c>
      <c r="E36" s="19">
        <v>3</v>
      </c>
      <c r="F36" s="127">
        <f>(Luong!H11+Luong!H12+Luong!H13+Luong!H15)</f>
        <v>1167075</v>
      </c>
      <c r="G36" s="127">
        <f>ROUND(E36*F36,0)</f>
        <v>3501225</v>
      </c>
    </row>
    <row r="37" spans="1:7" ht="20.100000000000001" customHeight="1" x14ac:dyDescent="0.25">
      <c r="A37" s="675"/>
      <c r="B37" s="81"/>
      <c r="C37" s="30" t="s">
        <v>18</v>
      </c>
      <c r="D37" s="6"/>
      <c r="E37" s="6"/>
      <c r="F37" s="107"/>
      <c r="G37" s="168">
        <f>SUM(G38:G39)</f>
        <v>292500</v>
      </c>
    </row>
    <row r="38" spans="1:7" ht="20.100000000000001" customHeight="1" x14ac:dyDescent="0.25">
      <c r="A38" s="675"/>
      <c r="B38" s="81"/>
      <c r="C38" s="8" t="s">
        <v>7</v>
      </c>
      <c r="D38" s="6" t="s">
        <v>20</v>
      </c>
      <c r="E38" s="6">
        <v>0.5</v>
      </c>
      <c r="F38" s="107">
        <v>75000</v>
      </c>
      <c r="G38" s="115">
        <f t="shared" si="1"/>
        <v>37500</v>
      </c>
    </row>
    <row r="39" spans="1:7" ht="20.100000000000001" customHeight="1" x14ac:dyDescent="0.25">
      <c r="A39" s="675"/>
      <c r="B39" s="80"/>
      <c r="C39" s="46" t="s">
        <v>8</v>
      </c>
      <c r="D39" s="15" t="s">
        <v>21</v>
      </c>
      <c r="E39" s="12">
        <v>0.3</v>
      </c>
      <c r="F39" s="107">
        <v>850000</v>
      </c>
      <c r="G39" s="116">
        <f t="shared" si="1"/>
        <v>255000</v>
      </c>
    </row>
    <row r="40" spans="1:7" ht="20.100000000000001" customHeight="1" x14ac:dyDescent="0.25">
      <c r="A40" s="674">
        <v>5</v>
      </c>
      <c r="B40" s="71" t="str">
        <f>PA!B36</f>
        <v>Trình cấp thẩm quyền phê duyệt phương án</v>
      </c>
      <c r="C40" s="42"/>
      <c r="D40" s="72"/>
      <c r="E40" s="72"/>
      <c r="F40" s="106"/>
      <c r="G40" s="127"/>
    </row>
    <row r="41" spans="1:7" ht="33" x14ac:dyDescent="0.25">
      <c r="A41" s="675"/>
      <c r="B41" s="81"/>
      <c r="C41" s="120" t="s">
        <v>45</v>
      </c>
      <c r="D41" s="338" t="s">
        <v>187</v>
      </c>
      <c r="E41" s="21">
        <v>1</v>
      </c>
      <c r="F41" s="168">
        <f>(Luong!H11+Luong!H14)</f>
        <v>569430</v>
      </c>
      <c r="G41" s="168">
        <f>ROUND(E41*F41,0)</f>
        <v>569430</v>
      </c>
    </row>
    <row r="42" spans="1:7" ht="20.100000000000001" customHeight="1" x14ac:dyDescent="0.25">
      <c r="A42" s="675"/>
      <c r="B42" s="81"/>
      <c r="C42" s="30" t="s">
        <v>18</v>
      </c>
      <c r="D42" s="6"/>
      <c r="E42" s="6"/>
      <c r="F42" s="197"/>
      <c r="G42" s="168">
        <f>SUM(G43:G44)</f>
        <v>192500</v>
      </c>
    </row>
    <row r="43" spans="1:7" ht="20.100000000000001" customHeight="1" x14ac:dyDescent="0.25">
      <c r="A43" s="675"/>
      <c r="B43" s="81"/>
      <c r="C43" s="8" t="s">
        <v>7</v>
      </c>
      <c r="D43" s="6" t="s">
        <v>20</v>
      </c>
      <c r="E43" s="6">
        <v>0.3</v>
      </c>
      <c r="F43" s="107">
        <v>75000</v>
      </c>
      <c r="G43" s="115">
        <f t="shared" si="1"/>
        <v>22500</v>
      </c>
    </row>
    <row r="44" spans="1:7" ht="20.100000000000001" customHeight="1" x14ac:dyDescent="0.25">
      <c r="A44" s="699"/>
      <c r="B44" s="210"/>
      <c r="C44" s="46" t="s">
        <v>8</v>
      </c>
      <c r="D44" s="15" t="s">
        <v>21</v>
      </c>
      <c r="E44" s="12">
        <v>0.2</v>
      </c>
      <c r="F44" s="211">
        <v>850000</v>
      </c>
      <c r="G44" s="116">
        <f t="shared" si="1"/>
        <v>170000</v>
      </c>
    </row>
    <row r="45" spans="1:7" ht="16.5" x14ac:dyDescent="0.25">
      <c r="A45" s="674">
        <v>6</v>
      </c>
      <c r="B45" s="121" t="s">
        <v>72</v>
      </c>
      <c r="C45" s="1"/>
      <c r="D45" s="1"/>
      <c r="E45" s="67"/>
      <c r="F45" s="109"/>
      <c r="G45" s="119"/>
    </row>
    <row r="46" spans="1:7" ht="49.5" x14ac:dyDescent="0.25">
      <c r="A46" s="675"/>
      <c r="B46" s="76"/>
      <c r="C46" s="120" t="s">
        <v>149</v>
      </c>
      <c r="D46" s="181" t="s">
        <v>65</v>
      </c>
      <c r="E46" s="181">
        <v>4</v>
      </c>
      <c r="F46" s="168">
        <f>(Luong!H11+Luong!H13+Luong!H15)</f>
        <v>882360</v>
      </c>
      <c r="G46" s="168">
        <f>ROUND(E46*F46,0)</f>
        <v>3529440</v>
      </c>
    </row>
    <row r="47" spans="1:7" ht="16.5" x14ac:dyDescent="0.25">
      <c r="A47" s="675"/>
      <c r="B47" s="76"/>
      <c r="C47" s="30" t="s">
        <v>18</v>
      </c>
      <c r="D47" s="6"/>
      <c r="E47" s="6"/>
      <c r="F47" s="107"/>
      <c r="G47" s="168">
        <f>SUM(G48:G50)</f>
        <v>295000</v>
      </c>
    </row>
    <row r="48" spans="1:7" ht="16.5" x14ac:dyDescent="0.25">
      <c r="A48" s="675"/>
      <c r="B48" s="76"/>
      <c r="C48" s="8" t="s">
        <v>7</v>
      </c>
      <c r="D48" s="6" t="s">
        <v>20</v>
      </c>
      <c r="E48" s="9">
        <v>0.5</v>
      </c>
      <c r="F48" s="107">
        <v>75000</v>
      </c>
      <c r="G48" s="115">
        <f>ROUND(E48*F48,0)</f>
        <v>37500</v>
      </c>
    </row>
    <row r="49" spans="1:7" ht="16.5" x14ac:dyDescent="0.25">
      <c r="A49" s="675"/>
      <c r="B49" s="76"/>
      <c r="C49" s="10" t="s">
        <v>8</v>
      </c>
      <c r="D49" s="73" t="s">
        <v>21</v>
      </c>
      <c r="E49" s="6">
        <v>0.3</v>
      </c>
      <c r="F49" s="107">
        <v>850000</v>
      </c>
      <c r="G49" s="115">
        <f>ROUND(E49*F49,0)</f>
        <v>255000</v>
      </c>
    </row>
    <row r="50" spans="1:7" ht="16.5" x14ac:dyDescent="0.25">
      <c r="A50" s="86"/>
      <c r="B50" s="76"/>
      <c r="C50" s="8" t="s">
        <v>19</v>
      </c>
      <c r="D50" s="73" t="s">
        <v>21</v>
      </c>
      <c r="E50" s="6">
        <v>0.5</v>
      </c>
      <c r="F50" s="107">
        <v>5000</v>
      </c>
      <c r="G50" s="115">
        <f>ROUND(E50*F50,0)</f>
        <v>2500</v>
      </c>
    </row>
    <row r="51" spans="1:7" ht="30" customHeight="1" x14ac:dyDescent="0.25">
      <c r="A51" s="674">
        <v>7</v>
      </c>
      <c r="B51" s="54" t="s">
        <v>56</v>
      </c>
      <c r="C51" s="1"/>
      <c r="D51" s="1"/>
      <c r="E51" s="67"/>
      <c r="F51" s="109"/>
      <c r="G51" s="125"/>
    </row>
    <row r="52" spans="1:7" ht="33" x14ac:dyDescent="0.25">
      <c r="A52" s="675"/>
      <c r="B52" s="81"/>
      <c r="C52" s="120" t="s">
        <v>150</v>
      </c>
      <c r="D52" s="338" t="s">
        <v>187</v>
      </c>
      <c r="E52" s="181">
        <v>1</v>
      </c>
      <c r="F52" s="168">
        <f>Luong!H13+Luong!H14</f>
        <v>597645</v>
      </c>
      <c r="G52" s="168">
        <f>ROUND(E52*F52,0)</f>
        <v>597645</v>
      </c>
    </row>
    <row r="53" spans="1:7" ht="16.5" x14ac:dyDescent="0.25">
      <c r="A53" s="675"/>
      <c r="B53" s="81"/>
      <c r="C53" s="30" t="s">
        <v>18</v>
      </c>
      <c r="D53" s="6"/>
      <c r="E53" s="6"/>
      <c r="F53" s="107"/>
      <c r="G53" s="168">
        <f>SUM(G54:G55)</f>
        <v>75500</v>
      </c>
    </row>
    <row r="54" spans="1:7" ht="16.5" x14ac:dyDescent="0.25">
      <c r="A54" s="675"/>
      <c r="B54" s="81"/>
      <c r="C54" s="8" t="s">
        <v>7</v>
      </c>
      <c r="D54" s="6" t="s">
        <v>20</v>
      </c>
      <c r="E54" s="6">
        <v>0.1</v>
      </c>
      <c r="F54" s="107">
        <v>75000</v>
      </c>
      <c r="G54" s="115">
        <f>ROUND(E54*F54,0)</f>
        <v>7500</v>
      </c>
    </row>
    <row r="55" spans="1:7" ht="16.5" x14ac:dyDescent="0.25">
      <c r="A55" s="86"/>
      <c r="B55" s="81"/>
      <c r="C55" s="10" t="s">
        <v>8</v>
      </c>
      <c r="D55" s="73" t="s">
        <v>21</v>
      </c>
      <c r="E55" s="6">
        <v>0.08</v>
      </c>
      <c r="F55" s="107">
        <v>850000</v>
      </c>
      <c r="G55" s="116">
        <f>ROUND(E55*F55,0)</f>
        <v>68000</v>
      </c>
    </row>
    <row r="56" spans="1:7" ht="49.5" x14ac:dyDescent="0.25">
      <c r="A56" s="85">
        <v>8</v>
      </c>
      <c r="B56" s="124" t="s">
        <v>165</v>
      </c>
      <c r="C56" s="83"/>
      <c r="D56" s="68"/>
      <c r="E56" s="68"/>
      <c r="F56" s="108"/>
      <c r="G56" s="125"/>
    </row>
    <row r="57" spans="1:7" ht="49.5" x14ac:dyDescent="0.25">
      <c r="A57" s="86"/>
      <c r="B57" s="122"/>
      <c r="C57" s="120" t="s">
        <v>151</v>
      </c>
      <c r="D57" s="338" t="s">
        <v>187</v>
      </c>
      <c r="E57" s="181">
        <v>1</v>
      </c>
      <c r="F57" s="168">
        <f>Luong!H11+Luong!H13*2+Luong!H14</f>
        <v>1138860</v>
      </c>
      <c r="G57" s="168">
        <f>ROUND(E57*F57,0)</f>
        <v>1138860</v>
      </c>
    </row>
    <row r="58" spans="1:7" ht="16.5" x14ac:dyDescent="0.25">
      <c r="A58" s="86"/>
      <c r="B58" s="122"/>
      <c r="C58" s="30" t="s">
        <v>18</v>
      </c>
      <c r="D58" s="6"/>
      <c r="E58" s="6"/>
      <c r="F58" s="107"/>
      <c r="G58" s="168">
        <f>SUM(G59:G61)</f>
        <v>290000</v>
      </c>
    </row>
    <row r="59" spans="1:7" ht="20.100000000000001" customHeight="1" x14ac:dyDescent="0.25">
      <c r="A59" s="86"/>
      <c r="B59" s="122"/>
      <c r="C59" s="8" t="s">
        <v>7</v>
      </c>
      <c r="D59" s="6" t="s">
        <v>20</v>
      </c>
      <c r="E59" s="9">
        <v>0.4</v>
      </c>
      <c r="F59" s="107">
        <v>75000</v>
      </c>
      <c r="G59" s="115">
        <f>ROUND(E59*F59,0)</f>
        <v>30000</v>
      </c>
    </row>
    <row r="60" spans="1:7" ht="20.100000000000001" customHeight="1" x14ac:dyDescent="0.25">
      <c r="A60" s="86"/>
      <c r="B60" s="122"/>
      <c r="C60" s="10" t="s">
        <v>8</v>
      </c>
      <c r="D60" s="73" t="s">
        <v>21</v>
      </c>
      <c r="E60" s="6">
        <v>0.3</v>
      </c>
      <c r="F60" s="107">
        <v>850000</v>
      </c>
      <c r="G60" s="115">
        <f>ROUND(E60*F60,0)</f>
        <v>255000</v>
      </c>
    </row>
    <row r="61" spans="1:7" ht="20.100000000000001" customHeight="1" x14ac:dyDescent="0.25">
      <c r="A61" s="86"/>
      <c r="B61" s="123"/>
      <c r="C61" s="14" t="s">
        <v>19</v>
      </c>
      <c r="D61" s="79" t="s">
        <v>21</v>
      </c>
      <c r="E61" s="6">
        <v>1</v>
      </c>
      <c r="F61" s="107">
        <v>5000</v>
      </c>
      <c r="G61" s="115">
        <f>ROUND(E61*F61,0)</f>
        <v>5000</v>
      </c>
    </row>
    <row r="62" spans="1:7" ht="49.5" x14ac:dyDescent="0.25">
      <c r="A62" s="291">
        <v>9</v>
      </c>
      <c r="B62" s="124" t="s">
        <v>147</v>
      </c>
      <c r="C62" s="83"/>
      <c r="D62" s="68"/>
      <c r="E62" s="68"/>
      <c r="F62" s="108"/>
      <c r="G62" s="125"/>
    </row>
    <row r="63" spans="1:7" ht="49.5" x14ac:dyDescent="0.25">
      <c r="A63" s="292"/>
      <c r="B63" s="122"/>
      <c r="C63" s="120" t="s">
        <v>151</v>
      </c>
      <c r="D63" s="338" t="s">
        <v>187</v>
      </c>
      <c r="E63" s="181">
        <v>6</v>
      </c>
      <c r="F63" s="168">
        <f>Luong!H11+Luong!H13*2+Luong!H14</f>
        <v>1138860</v>
      </c>
      <c r="G63" s="168">
        <f>ROUND(E63*F63,0)</f>
        <v>6833160</v>
      </c>
    </row>
    <row r="64" spans="1:7" ht="20.100000000000001" customHeight="1" x14ac:dyDescent="0.25">
      <c r="A64" s="292"/>
      <c r="B64" s="122"/>
      <c r="C64" s="30" t="s">
        <v>18</v>
      </c>
      <c r="D64" s="6"/>
      <c r="E64" s="6"/>
      <c r="F64" s="107"/>
      <c r="G64" s="168">
        <f>SUM(G65:G67)</f>
        <v>290000</v>
      </c>
    </row>
    <row r="65" spans="1:7" ht="20.100000000000001" customHeight="1" x14ac:dyDescent="0.25">
      <c r="A65" s="292"/>
      <c r="B65" s="122"/>
      <c r="C65" s="8" t="s">
        <v>7</v>
      </c>
      <c r="D65" s="6" t="s">
        <v>20</v>
      </c>
      <c r="E65" s="9">
        <v>0.4</v>
      </c>
      <c r="F65" s="107">
        <v>75000</v>
      </c>
      <c r="G65" s="115">
        <f>ROUND(E65*F65,0)</f>
        <v>30000</v>
      </c>
    </row>
    <row r="66" spans="1:7" ht="20.100000000000001" customHeight="1" x14ac:dyDescent="0.25">
      <c r="A66" s="292"/>
      <c r="B66" s="122"/>
      <c r="C66" s="10" t="s">
        <v>8</v>
      </c>
      <c r="D66" s="73" t="s">
        <v>21</v>
      </c>
      <c r="E66" s="6">
        <v>0.3</v>
      </c>
      <c r="F66" s="107">
        <v>850000</v>
      </c>
      <c r="G66" s="115">
        <f>ROUND(E66*F66,0)</f>
        <v>255000</v>
      </c>
    </row>
    <row r="67" spans="1:7" ht="20.100000000000001" customHeight="1" x14ac:dyDescent="0.25">
      <c r="A67" s="292"/>
      <c r="B67" s="123"/>
      <c r="C67" s="14" t="s">
        <v>19</v>
      </c>
      <c r="D67" s="79" t="s">
        <v>21</v>
      </c>
      <c r="E67" s="6">
        <v>1</v>
      </c>
      <c r="F67" s="107">
        <v>5000</v>
      </c>
      <c r="G67" s="115">
        <f>ROUND(E67*F67,0)</f>
        <v>5000</v>
      </c>
    </row>
    <row r="68" spans="1:7" ht="20.100000000000001" customHeight="1" x14ac:dyDescent="0.25">
      <c r="A68" s="292"/>
      <c r="B68" s="123"/>
      <c r="C68" s="14"/>
      <c r="D68" s="79"/>
      <c r="E68" s="6"/>
      <c r="F68" s="107"/>
      <c r="G68" s="115"/>
    </row>
    <row r="69" spans="1:7" ht="49.5" x14ac:dyDescent="0.25">
      <c r="A69" s="84">
        <v>10</v>
      </c>
      <c r="B69" s="56" t="s">
        <v>49</v>
      </c>
      <c r="C69" s="1"/>
      <c r="D69" s="74"/>
      <c r="E69" s="68"/>
      <c r="F69" s="108"/>
      <c r="G69" s="108"/>
    </row>
    <row r="70" spans="1:7" ht="49.5" x14ac:dyDescent="0.25">
      <c r="A70" s="688" t="s">
        <v>173</v>
      </c>
      <c r="B70" s="55" t="s">
        <v>50</v>
      </c>
      <c r="C70" s="83"/>
      <c r="D70" s="68"/>
      <c r="E70" s="68"/>
      <c r="F70" s="108"/>
      <c r="G70" s="125"/>
    </row>
    <row r="71" spans="1:7" ht="49.5" x14ac:dyDescent="0.25">
      <c r="A71" s="689"/>
      <c r="B71" s="76"/>
      <c r="C71" s="120" t="s">
        <v>149</v>
      </c>
      <c r="D71" s="338" t="s">
        <v>187</v>
      </c>
      <c r="E71" s="181">
        <v>4</v>
      </c>
      <c r="F71" s="168">
        <f>Luong!H11+Luong!H13+Luong!H14</f>
        <v>854145</v>
      </c>
      <c r="G71" s="168">
        <f>ROUND(E71*F71,0)</f>
        <v>3416580</v>
      </c>
    </row>
    <row r="72" spans="1:7" ht="30" customHeight="1" x14ac:dyDescent="0.25">
      <c r="A72" s="689"/>
      <c r="B72" s="76"/>
      <c r="C72" s="30" t="s">
        <v>18</v>
      </c>
      <c r="D72" s="6"/>
      <c r="E72" s="6"/>
      <c r="F72" s="107"/>
      <c r="G72" s="168">
        <f>SUM(G73:G75)</f>
        <v>502500</v>
      </c>
    </row>
    <row r="73" spans="1:7" ht="16.5" x14ac:dyDescent="0.25">
      <c r="A73" s="689"/>
      <c r="B73" s="76"/>
      <c r="C73" s="8" t="s">
        <v>7</v>
      </c>
      <c r="D73" s="6" t="s">
        <v>20</v>
      </c>
      <c r="E73" s="206">
        <v>1</v>
      </c>
      <c r="F73" s="107">
        <v>75000</v>
      </c>
      <c r="G73" s="115">
        <f>ROUND(E73*F73,0)</f>
        <v>75000</v>
      </c>
    </row>
    <row r="74" spans="1:7" ht="16.5" x14ac:dyDescent="0.25">
      <c r="A74" s="689"/>
      <c r="B74" s="76"/>
      <c r="C74" s="10" t="s">
        <v>8</v>
      </c>
      <c r="D74" s="73" t="s">
        <v>21</v>
      </c>
      <c r="E74" s="6">
        <v>0.5</v>
      </c>
      <c r="F74" s="107">
        <v>850000</v>
      </c>
      <c r="G74" s="115">
        <f>ROUND(E74*F74,0)</f>
        <v>425000</v>
      </c>
    </row>
    <row r="75" spans="1:7" ht="16.5" x14ac:dyDescent="0.25">
      <c r="A75" s="689"/>
      <c r="B75" s="78"/>
      <c r="C75" s="82" t="s">
        <v>19</v>
      </c>
      <c r="D75" s="79" t="s">
        <v>21</v>
      </c>
      <c r="E75" s="6">
        <v>0.5</v>
      </c>
      <c r="F75" s="107">
        <v>5000</v>
      </c>
      <c r="G75" s="115">
        <f>ROUND(E75*F75,0)</f>
        <v>2500</v>
      </c>
    </row>
    <row r="76" spans="1:7" ht="33" x14ac:dyDescent="0.25">
      <c r="A76" s="688" t="s">
        <v>175</v>
      </c>
      <c r="B76" s="55" t="s">
        <v>51</v>
      </c>
      <c r="C76" s="83"/>
      <c r="D76" s="68"/>
      <c r="E76" s="68"/>
      <c r="F76" s="108"/>
      <c r="G76" s="125"/>
    </row>
    <row r="77" spans="1:7" ht="49.5" x14ac:dyDescent="0.25">
      <c r="A77" s="689"/>
      <c r="B77" s="76"/>
      <c r="C77" s="120" t="s">
        <v>166</v>
      </c>
      <c r="D77" s="338" t="s">
        <v>187</v>
      </c>
      <c r="E77" s="181">
        <v>3</v>
      </c>
      <c r="F77" s="168">
        <f>Luong!H11+Luong!H12+Luong!H13*2+Luong!H14</f>
        <v>1423575</v>
      </c>
      <c r="G77" s="168">
        <f>ROUND(E77*F77,0)</f>
        <v>4270725</v>
      </c>
    </row>
    <row r="78" spans="1:7" ht="16.5" x14ac:dyDescent="0.25">
      <c r="A78" s="689"/>
      <c r="B78" s="76"/>
      <c r="C78" s="30" t="s">
        <v>18</v>
      </c>
      <c r="D78" s="6"/>
      <c r="E78" s="6"/>
      <c r="F78" s="107"/>
      <c r="G78" s="168">
        <f>SUM(G79:G81)</f>
        <v>212500</v>
      </c>
    </row>
    <row r="79" spans="1:7" ht="16.5" x14ac:dyDescent="0.25">
      <c r="A79" s="689"/>
      <c r="B79" s="76"/>
      <c r="C79" s="8" t="s">
        <v>7</v>
      </c>
      <c r="D79" s="6" t="s">
        <v>20</v>
      </c>
      <c r="E79" s="6">
        <v>0.5</v>
      </c>
      <c r="F79" s="107">
        <v>75000</v>
      </c>
      <c r="G79" s="115">
        <f>ROUND(E79*F79,0)</f>
        <v>37500</v>
      </c>
    </row>
    <row r="80" spans="1:7" ht="16.5" x14ac:dyDescent="0.25">
      <c r="A80" s="689"/>
      <c r="B80" s="76"/>
      <c r="C80" s="10" t="s">
        <v>8</v>
      </c>
      <c r="D80" s="73" t="s">
        <v>21</v>
      </c>
      <c r="E80" s="6">
        <v>0.2</v>
      </c>
      <c r="F80" s="107">
        <v>850000</v>
      </c>
      <c r="G80" s="115">
        <f>ROUND(E80*F80,0)</f>
        <v>170000</v>
      </c>
    </row>
    <row r="81" spans="1:7" ht="16.5" x14ac:dyDescent="0.25">
      <c r="A81" s="689"/>
      <c r="B81" s="78"/>
      <c r="C81" s="14" t="s">
        <v>19</v>
      </c>
      <c r="D81" s="79" t="s">
        <v>21</v>
      </c>
      <c r="E81" s="12">
        <v>1</v>
      </c>
      <c r="F81" s="107">
        <v>5000</v>
      </c>
      <c r="G81" s="116">
        <f>ROUND(E81*F81,0)</f>
        <v>5000</v>
      </c>
    </row>
    <row r="82" spans="1:7" ht="30" customHeight="1" x14ac:dyDescent="0.25">
      <c r="A82" s="674" t="s">
        <v>176</v>
      </c>
      <c r="B82" s="55" t="s">
        <v>52</v>
      </c>
      <c r="C82" s="83"/>
      <c r="D82" s="68"/>
      <c r="E82" s="68"/>
      <c r="F82" s="108"/>
      <c r="G82" s="125"/>
    </row>
    <row r="83" spans="1:7" ht="30" customHeight="1" x14ac:dyDescent="0.25">
      <c r="A83" s="675"/>
      <c r="B83" s="76"/>
      <c r="C83" s="120" t="s">
        <v>150</v>
      </c>
      <c r="D83" s="338" t="s">
        <v>187</v>
      </c>
      <c r="E83" s="181">
        <v>1</v>
      </c>
      <c r="F83" s="168">
        <f>Luong!H13+Luong!H14</f>
        <v>597645</v>
      </c>
      <c r="G83" s="168">
        <f>ROUND(E83*F83,0)</f>
        <v>597645</v>
      </c>
    </row>
    <row r="84" spans="1:7" ht="16.5" x14ac:dyDescent="0.25">
      <c r="A84" s="675"/>
      <c r="B84" s="76"/>
      <c r="C84" s="30" t="s">
        <v>18</v>
      </c>
      <c r="D84" s="6"/>
      <c r="E84" s="6"/>
      <c r="F84" s="107"/>
      <c r="G84" s="168">
        <f>SUM(G85:G86)</f>
        <v>100000</v>
      </c>
    </row>
    <row r="85" spans="1:7" ht="16.5" x14ac:dyDescent="0.25">
      <c r="A85" s="675"/>
      <c r="B85" s="76"/>
      <c r="C85" s="8" t="s">
        <v>7</v>
      </c>
      <c r="D85" s="6" t="s">
        <v>20</v>
      </c>
      <c r="E85" s="6">
        <v>0.2</v>
      </c>
      <c r="F85" s="107">
        <v>75000</v>
      </c>
      <c r="G85" s="115">
        <f>ROUND(E85*F85,0)</f>
        <v>15000</v>
      </c>
    </row>
    <row r="86" spans="1:7" ht="16.5" x14ac:dyDescent="0.25">
      <c r="A86" s="675"/>
      <c r="B86" s="78"/>
      <c r="C86" s="46" t="s">
        <v>8</v>
      </c>
      <c r="D86" s="79" t="s">
        <v>21</v>
      </c>
      <c r="E86" s="12">
        <v>0.1</v>
      </c>
      <c r="F86" s="107">
        <v>850000</v>
      </c>
      <c r="G86" s="116">
        <f>ROUND(E86*F86,0)</f>
        <v>85000</v>
      </c>
    </row>
    <row r="87" spans="1:7" ht="33" x14ac:dyDescent="0.25">
      <c r="A87" s="674" t="s">
        <v>177</v>
      </c>
      <c r="B87" s="55" t="s">
        <v>53</v>
      </c>
      <c r="C87" s="83"/>
      <c r="D87" s="68"/>
      <c r="E87" s="68"/>
      <c r="F87" s="108"/>
      <c r="G87" s="125"/>
    </row>
    <row r="88" spans="1:7" ht="49.5" x14ac:dyDescent="0.25">
      <c r="A88" s="675"/>
      <c r="B88" s="76"/>
      <c r="C88" s="120" t="s">
        <v>153</v>
      </c>
      <c r="D88" s="338" t="s">
        <v>187</v>
      </c>
      <c r="E88" s="181">
        <v>2</v>
      </c>
      <c r="F88" s="168">
        <f>Luong!H12+Luong!H13+Luong!H14</f>
        <v>882360</v>
      </c>
      <c r="G88" s="168">
        <f>ROUND(E88*F88,0)</f>
        <v>1764720</v>
      </c>
    </row>
    <row r="89" spans="1:7" ht="30" customHeight="1" x14ac:dyDescent="0.25">
      <c r="A89" s="675"/>
      <c r="B89" s="76"/>
      <c r="C89" s="30" t="s">
        <v>18</v>
      </c>
      <c r="D89" s="6"/>
      <c r="E89" s="6"/>
      <c r="F89" s="107"/>
      <c r="G89" s="168">
        <f>SUM(G90:G92)</f>
        <v>295000</v>
      </c>
    </row>
    <row r="90" spans="1:7" ht="16.5" x14ac:dyDescent="0.25">
      <c r="A90" s="675"/>
      <c r="B90" s="76"/>
      <c r="C90" s="8" t="s">
        <v>7</v>
      </c>
      <c r="D90" s="6" t="s">
        <v>20</v>
      </c>
      <c r="E90" s="6">
        <v>0.5</v>
      </c>
      <c r="F90" s="107">
        <v>75000</v>
      </c>
      <c r="G90" s="115">
        <f>ROUND(E90*F90,0)</f>
        <v>37500</v>
      </c>
    </row>
    <row r="91" spans="1:7" ht="16.5" x14ac:dyDescent="0.25">
      <c r="A91" s="675"/>
      <c r="B91" s="76"/>
      <c r="C91" s="10" t="s">
        <v>8</v>
      </c>
      <c r="D91" s="73" t="s">
        <v>21</v>
      </c>
      <c r="E91" s="6">
        <v>0.3</v>
      </c>
      <c r="F91" s="107">
        <v>850000</v>
      </c>
      <c r="G91" s="115">
        <f>ROUND(E91*F91,0)</f>
        <v>255000</v>
      </c>
    </row>
    <row r="92" spans="1:7" ht="16.5" x14ac:dyDescent="0.25">
      <c r="A92" s="675"/>
      <c r="B92" s="78"/>
      <c r="C92" s="82" t="s">
        <v>19</v>
      </c>
      <c r="D92" s="79" t="s">
        <v>21</v>
      </c>
      <c r="E92" s="12">
        <v>0.5</v>
      </c>
      <c r="F92" s="107">
        <v>5000</v>
      </c>
      <c r="G92" s="115">
        <f>ROUND(E92*F92,0)</f>
        <v>2500</v>
      </c>
    </row>
    <row r="93" spans="1:7" ht="115.5" x14ac:dyDescent="0.25">
      <c r="A93" s="84">
        <v>11</v>
      </c>
      <c r="B93" s="54" t="s">
        <v>54</v>
      </c>
      <c r="C93" s="1"/>
      <c r="D93" s="74"/>
      <c r="E93" s="68"/>
      <c r="F93" s="108"/>
      <c r="G93" s="108"/>
    </row>
    <row r="94" spans="1:7" ht="82.5" x14ac:dyDescent="0.25">
      <c r="A94" s="90" t="s">
        <v>178</v>
      </c>
      <c r="B94" s="55" t="s">
        <v>66</v>
      </c>
      <c r="C94" s="42" t="s">
        <v>149</v>
      </c>
      <c r="D94" s="126" t="s">
        <v>65</v>
      </c>
      <c r="E94" s="126">
        <v>4</v>
      </c>
      <c r="F94" s="127">
        <f>Luong!H11+Luong!H13+Luong!H14</f>
        <v>854145</v>
      </c>
      <c r="G94" s="125">
        <f>ROUND(E94*F94,0)</f>
        <v>3416580</v>
      </c>
    </row>
    <row r="95" spans="1:7" ht="16.5" x14ac:dyDescent="0.25">
      <c r="A95" s="688" t="s">
        <v>174</v>
      </c>
      <c r="B95" s="55" t="s">
        <v>67</v>
      </c>
      <c r="C95" s="83"/>
      <c r="D95" s="68"/>
      <c r="E95" s="68"/>
      <c r="F95" s="108"/>
      <c r="G95" s="125"/>
    </row>
    <row r="96" spans="1:7" ht="49.5" x14ac:dyDescent="0.25">
      <c r="A96" s="689"/>
      <c r="B96" s="76"/>
      <c r="C96" s="120" t="s">
        <v>167</v>
      </c>
      <c r="D96" s="338" t="s">
        <v>187</v>
      </c>
      <c r="E96" s="181">
        <v>4</v>
      </c>
      <c r="F96" s="168">
        <f>Luong!H11+Luong!H12+Luong!H13+Luong!H14</f>
        <v>1138860</v>
      </c>
      <c r="G96" s="168">
        <f>ROUND(E96*F96,0)</f>
        <v>4555440</v>
      </c>
    </row>
    <row r="97" spans="1:7" ht="16.5" x14ac:dyDescent="0.25">
      <c r="A97" s="689"/>
      <c r="B97" s="81"/>
      <c r="C97" s="30" t="s">
        <v>18</v>
      </c>
      <c r="D97" s="6"/>
      <c r="E97" s="6"/>
      <c r="F97" s="107"/>
      <c r="G97" s="168">
        <f>SUM(G98:G100)</f>
        <v>202500</v>
      </c>
    </row>
    <row r="98" spans="1:7" ht="16.5" x14ac:dyDescent="0.25">
      <c r="A98" s="689"/>
      <c r="B98" s="81"/>
      <c r="C98" s="8" t="s">
        <v>7</v>
      </c>
      <c r="D98" s="6" t="s">
        <v>20</v>
      </c>
      <c r="E98" s="6">
        <v>0.4</v>
      </c>
      <c r="F98" s="107">
        <v>75000</v>
      </c>
      <c r="G98" s="115">
        <f>ROUND(E98*F98,0)</f>
        <v>30000</v>
      </c>
    </row>
    <row r="99" spans="1:7" ht="16.5" x14ac:dyDescent="0.25">
      <c r="A99" s="689"/>
      <c r="B99" s="81"/>
      <c r="C99" s="10" t="s">
        <v>8</v>
      </c>
      <c r="D99" s="73" t="s">
        <v>21</v>
      </c>
      <c r="E99" s="6">
        <v>0.2</v>
      </c>
      <c r="F99" s="107">
        <v>850000</v>
      </c>
      <c r="G99" s="115">
        <f>ROUND(E99*F99,0)</f>
        <v>170000</v>
      </c>
    </row>
    <row r="100" spans="1:7" ht="16.5" x14ac:dyDescent="0.25">
      <c r="A100" s="689"/>
      <c r="B100" s="81"/>
      <c r="C100" s="66" t="s">
        <v>19</v>
      </c>
      <c r="D100" s="73" t="s">
        <v>21</v>
      </c>
      <c r="E100" s="6">
        <v>0.5</v>
      </c>
      <c r="F100" s="107">
        <v>5000</v>
      </c>
      <c r="G100" s="115">
        <f>ROUND(E100*F100,0)</f>
        <v>2500</v>
      </c>
    </row>
    <row r="101" spans="1:7" ht="33" x14ac:dyDescent="0.25">
      <c r="A101" s="182" t="s">
        <v>179</v>
      </c>
      <c r="B101" s="55" t="s">
        <v>133</v>
      </c>
      <c r="C101" s="183"/>
      <c r="D101" s="183"/>
      <c r="E101" s="184"/>
      <c r="F101" s="185"/>
      <c r="G101" s="185"/>
    </row>
    <row r="102" spans="1:7" ht="49.5" x14ac:dyDescent="0.25">
      <c r="A102" s="182"/>
      <c r="B102" s="75"/>
      <c r="C102" s="186" t="s">
        <v>168</v>
      </c>
      <c r="D102" s="338" t="s">
        <v>187</v>
      </c>
      <c r="E102" s="187">
        <v>1</v>
      </c>
      <c r="F102" s="188">
        <f>(Luong!H11+Luong!H13+Luong!H15)</f>
        <v>882360</v>
      </c>
      <c r="G102" s="188">
        <f>ROUND(E102*F102,0)</f>
        <v>882360</v>
      </c>
    </row>
    <row r="103" spans="1:7" ht="33" x14ac:dyDescent="0.25">
      <c r="A103" s="182"/>
      <c r="B103" s="75"/>
      <c r="C103" s="189" t="s">
        <v>137</v>
      </c>
      <c r="D103" s="190"/>
      <c r="E103" s="191"/>
      <c r="F103" s="192"/>
      <c r="G103" s="192"/>
    </row>
    <row r="104" spans="1:7" ht="18.75" x14ac:dyDescent="0.25">
      <c r="A104" s="193"/>
      <c r="B104" s="76"/>
      <c r="C104" s="293" t="s">
        <v>154</v>
      </c>
      <c r="D104" s="194" t="s">
        <v>14</v>
      </c>
      <c r="E104" s="26">
        <v>0</v>
      </c>
      <c r="F104" s="195">
        <v>21350</v>
      </c>
      <c r="G104" s="195">
        <f t="shared" ref="G104:G112" si="2">ROUND(E104*F104,0)</f>
        <v>0</v>
      </c>
    </row>
    <row r="105" spans="1:7" ht="18.75" x14ac:dyDescent="0.25">
      <c r="A105" s="193"/>
      <c r="B105" s="76"/>
      <c r="C105" s="293" t="s">
        <v>155</v>
      </c>
      <c r="D105" s="194" t="s">
        <v>14</v>
      </c>
      <c r="E105" s="26">
        <v>1</v>
      </c>
      <c r="F105" s="195">
        <v>21350</v>
      </c>
      <c r="G105" s="195">
        <f t="shared" si="2"/>
        <v>21350</v>
      </c>
    </row>
    <row r="106" spans="1:7" ht="18.75" x14ac:dyDescent="0.25">
      <c r="A106" s="193"/>
      <c r="B106" s="76"/>
      <c r="C106" s="293" t="s">
        <v>156</v>
      </c>
      <c r="D106" s="194" t="s">
        <v>14</v>
      </c>
      <c r="E106" s="26">
        <v>1.4</v>
      </c>
      <c r="F106" s="195">
        <v>21350</v>
      </c>
      <c r="G106" s="195">
        <f t="shared" si="2"/>
        <v>29890</v>
      </c>
    </row>
    <row r="107" spans="1:7" ht="18.75" x14ac:dyDescent="0.25">
      <c r="A107" s="193"/>
      <c r="B107" s="76"/>
      <c r="C107" s="293" t="s">
        <v>157</v>
      </c>
      <c r="D107" s="194" t="s">
        <v>14</v>
      </c>
      <c r="E107" s="26">
        <v>1.9</v>
      </c>
      <c r="F107" s="195">
        <v>21350</v>
      </c>
      <c r="G107" s="195">
        <f t="shared" si="2"/>
        <v>40565</v>
      </c>
    </row>
    <row r="108" spans="1:7" ht="18.75" x14ac:dyDescent="0.25">
      <c r="A108" s="193"/>
      <c r="B108" s="76"/>
      <c r="C108" s="293" t="s">
        <v>158</v>
      </c>
      <c r="D108" s="194" t="s">
        <v>14</v>
      </c>
      <c r="E108" s="26">
        <v>2</v>
      </c>
      <c r="F108" s="195">
        <v>21350</v>
      </c>
      <c r="G108" s="195">
        <f t="shared" si="2"/>
        <v>42700</v>
      </c>
    </row>
    <row r="109" spans="1:7" ht="18.75" x14ac:dyDescent="0.25">
      <c r="A109" s="193"/>
      <c r="B109" s="76"/>
      <c r="C109" s="293" t="s">
        <v>164</v>
      </c>
      <c r="D109" s="194" t="s">
        <v>14</v>
      </c>
      <c r="E109" s="26">
        <v>2.4</v>
      </c>
      <c r="F109" s="195">
        <v>21350</v>
      </c>
      <c r="G109" s="195">
        <f t="shared" si="2"/>
        <v>51240</v>
      </c>
    </row>
    <row r="110" spans="1:7" ht="18.75" x14ac:dyDescent="0.25">
      <c r="A110" s="193"/>
      <c r="B110" s="76"/>
      <c r="C110" s="293" t="s">
        <v>160</v>
      </c>
      <c r="D110" s="194" t="s">
        <v>14</v>
      </c>
      <c r="E110" s="26">
        <v>3</v>
      </c>
      <c r="F110" s="195">
        <v>21350</v>
      </c>
      <c r="G110" s="195">
        <f t="shared" si="2"/>
        <v>64050</v>
      </c>
    </row>
    <row r="111" spans="1:7" ht="18.75" x14ac:dyDescent="0.25">
      <c r="A111" s="193"/>
      <c r="B111" s="76"/>
      <c r="C111" s="293" t="s">
        <v>163</v>
      </c>
      <c r="D111" s="194" t="s">
        <v>14</v>
      </c>
      <c r="E111" s="26">
        <v>3.3</v>
      </c>
      <c r="F111" s="195">
        <v>21350</v>
      </c>
      <c r="G111" s="195">
        <f t="shared" si="2"/>
        <v>70455</v>
      </c>
    </row>
    <row r="112" spans="1:7" ht="18.75" x14ac:dyDescent="0.25">
      <c r="A112" s="193"/>
      <c r="B112" s="76"/>
      <c r="C112" s="293" t="s">
        <v>162</v>
      </c>
      <c r="D112" s="194" t="s">
        <v>14</v>
      </c>
      <c r="E112" s="26">
        <v>3.9</v>
      </c>
      <c r="F112" s="195">
        <v>21350</v>
      </c>
      <c r="G112" s="195">
        <f t="shared" si="2"/>
        <v>83265</v>
      </c>
    </row>
    <row r="113" spans="1:7" ht="16.5" x14ac:dyDescent="0.25">
      <c r="A113" s="93"/>
      <c r="B113" s="55"/>
      <c r="C113" s="177" t="s">
        <v>136</v>
      </c>
      <c r="D113" s="178"/>
      <c r="E113" s="162"/>
      <c r="F113" s="179"/>
      <c r="G113" s="108"/>
    </row>
    <row r="114" spans="1:7" ht="75" x14ac:dyDescent="0.25">
      <c r="A114" s="88"/>
      <c r="B114" s="76"/>
      <c r="C114" s="171" t="s">
        <v>134</v>
      </c>
      <c r="D114" s="180" t="s">
        <v>23</v>
      </c>
      <c r="E114" s="172">
        <v>1</v>
      </c>
      <c r="F114" s="173">
        <v>100000</v>
      </c>
      <c r="G114" s="173">
        <f>E114*F114</f>
        <v>100000</v>
      </c>
    </row>
    <row r="115" spans="1:7" ht="33" x14ac:dyDescent="0.25">
      <c r="A115" s="88"/>
      <c r="B115" s="76"/>
      <c r="C115" s="174" t="s">
        <v>135</v>
      </c>
      <c r="D115" s="166" t="s">
        <v>23</v>
      </c>
      <c r="E115" s="175">
        <v>1</v>
      </c>
      <c r="F115" s="176">
        <v>80000</v>
      </c>
      <c r="G115" s="176">
        <f>E115*F115</f>
        <v>80000</v>
      </c>
    </row>
    <row r="116" spans="1:7" ht="16.5" x14ac:dyDescent="0.25">
      <c r="A116" s="90" t="s">
        <v>180</v>
      </c>
      <c r="B116" s="170" t="s">
        <v>130</v>
      </c>
      <c r="C116" s="42"/>
      <c r="D116" s="72"/>
      <c r="E116" s="72"/>
      <c r="F116" s="169"/>
      <c r="G116" s="115"/>
    </row>
    <row r="117" spans="1:7" ht="33" x14ac:dyDescent="0.25">
      <c r="A117" s="88"/>
      <c r="B117" s="167"/>
      <c r="C117" s="42" t="s">
        <v>132</v>
      </c>
      <c r="D117" s="338" t="s">
        <v>187</v>
      </c>
      <c r="E117" s="126">
        <v>3</v>
      </c>
      <c r="F117" s="127">
        <f>Luong!H13+Luong!H14</f>
        <v>597645</v>
      </c>
      <c r="G117" s="168">
        <f>ROUND(E117*F117,0)</f>
        <v>1792935</v>
      </c>
    </row>
    <row r="118" spans="1:7" ht="16.5" x14ac:dyDescent="0.25">
      <c r="A118" s="88"/>
      <c r="B118" s="76"/>
      <c r="C118" s="30" t="s">
        <v>18</v>
      </c>
      <c r="D118" s="6"/>
      <c r="E118" s="6"/>
      <c r="F118" s="168"/>
      <c r="G118" s="168">
        <f>SUM(G119:G120)</f>
        <v>192500</v>
      </c>
    </row>
    <row r="119" spans="1:7" ht="16.5" x14ac:dyDescent="0.25">
      <c r="A119" s="88"/>
      <c r="B119" s="76"/>
      <c r="C119" s="8" t="s">
        <v>7</v>
      </c>
      <c r="D119" s="6" t="s">
        <v>20</v>
      </c>
      <c r="E119" s="6">
        <v>0.3</v>
      </c>
      <c r="F119" s="107">
        <v>75000</v>
      </c>
      <c r="G119" s="115">
        <f>ROUND(E119*F119,0)</f>
        <v>22500</v>
      </c>
    </row>
    <row r="120" spans="1:7" ht="16.5" x14ac:dyDescent="0.25">
      <c r="A120" s="88"/>
      <c r="B120" s="76"/>
      <c r="C120" s="10" t="s">
        <v>8</v>
      </c>
      <c r="D120" s="73" t="s">
        <v>21</v>
      </c>
      <c r="E120" s="6">
        <v>0.2</v>
      </c>
      <c r="F120" s="107">
        <v>850000</v>
      </c>
      <c r="G120" s="115">
        <f>ROUND(E120*F120,0)</f>
        <v>170000</v>
      </c>
    </row>
    <row r="121" spans="1:7" ht="49.5" x14ac:dyDescent="0.25">
      <c r="A121" s="674">
        <v>12</v>
      </c>
      <c r="B121" s="54" t="s">
        <v>73</v>
      </c>
      <c r="C121" s="83"/>
      <c r="D121" s="68"/>
      <c r="E121" s="68"/>
      <c r="F121" s="108"/>
      <c r="G121" s="125"/>
    </row>
    <row r="122" spans="1:7" ht="49.5" x14ac:dyDescent="0.25">
      <c r="A122" s="675"/>
      <c r="B122" s="81"/>
      <c r="C122" s="120" t="s">
        <v>149</v>
      </c>
      <c r="D122" s="338" t="s">
        <v>187</v>
      </c>
      <c r="E122" s="181">
        <v>2</v>
      </c>
      <c r="F122" s="168">
        <f>Luong!H11+Luong!H13+Luong!H14</f>
        <v>854145</v>
      </c>
      <c r="G122" s="168">
        <f>ROUND(E122*F122,0)</f>
        <v>1708290</v>
      </c>
    </row>
    <row r="123" spans="1:7" ht="16.5" x14ac:dyDescent="0.25">
      <c r="A123" s="675"/>
      <c r="B123" s="81"/>
      <c r="C123" s="30" t="s">
        <v>18</v>
      </c>
      <c r="D123" s="6"/>
      <c r="E123" s="6"/>
      <c r="F123" s="107"/>
      <c r="G123" s="168">
        <f>SUM(G124:G125)</f>
        <v>200000</v>
      </c>
    </row>
    <row r="124" spans="1:7" ht="16.5" x14ac:dyDescent="0.25">
      <c r="A124" s="675"/>
      <c r="B124" s="81"/>
      <c r="C124" s="8" t="s">
        <v>7</v>
      </c>
      <c r="D124" s="6" t="s">
        <v>20</v>
      </c>
      <c r="E124" s="6">
        <v>0.4</v>
      </c>
      <c r="F124" s="107">
        <v>75000</v>
      </c>
      <c r="G124" s="115">
        <f>ROUND(E124*F124,0)</f>
        <v>30000</v>
      </c>
    </row>
    <row r="125" spans="1:7" ht="16.5" x14ac:dyDescent="0.25">
      <c r="A125" s="699"/>
      <c r="B125" s="81"/>
      <c r="C125" s="46" t="s">
        <v>8</v>
      </c>
      <c r="D125" s="79" t="s">
        <v>21</v>
      </c>
      <c r="E125" s="12">
        <v>0.2</v>
      </c>
      <c r="F125" s="107">
        <v>850000</v>
      </c>
      <c r="G125" s="115">
        <f>ROUND(E125*F125,0)</f>
        <v>170000</v>
      </c>
    </row>
    <row r="126" spans="1:7" ht="33" x14ac:dyDescent="0.25">
      <c r="A126" s="674">
        <v>13</v>
      </c>
      <c r="B126" s="54" t="s">
        <v>74</v>
      </c>
      <c r="C126" s="83"/>
      <c r="D126" s="72"/>
      <c r="E126" s="72"/>
      <c r="F126" s="106"/>
      <c r="G126" s="127"/>
    </row>
    <row r="127" spans="1:7" ht="33" x14ac:dyDescent="0.25">
      <c r="A127" s="675"/>
      <c r="B127" s="81"/>
      <c r="C127" s="120" t="s">
        <v>150</v>
      </c>
      <c r="D127" s="338" t="s">
        <v>187</v>
      </c>
      <c r="E127" s="126">
        <v>3</v>
      </c>
      <c r="F127" s="127">
        <f>Luong!H13+Luong!H14</f>
        <v>597645</v>
      </c>
      <c r="G127" s="127">
        <f>ROUND(E127*F127,0)</f>
        <v>1792935</v>
      </c>
    </row>
    <row r="128" spans="1:7" ht="30" customHeight="1" x14ac:dyDescent="0.25">
      <c r="A128" s="675"/>
      <c r="B128" s="81"/>
      <c r="C128" s="30" t="s">
        <v>18</v>
      </c>
      <c r="D128" s="6"/>
      <c r="E128" s="6"/>
      <c r="F128" s="107"/>
      <c r="G128" s="168">
        <f>SUM(G129:G130)</f>
        <v>192500</v>
      </c>
    </row>
    <row r="129" spans="1:7" ht="16.5" x14ac:dyDescent="0.25">
      <c r="A129" s="675"/>
      <c r="B129" s="81"/>
      <c r="C129" s="8" t="s">
        <v>7</v>
      </c>
      <c r="D129" s="6" t="s">
        <v>20</v>
      </c>
      <c r="E129" s="6">
        <v>0.3</v>
      </c>
      <c r="F129" s="107">
        <v>75000</v>
      </c>
      <c r="G129" s="115">
        <f>ROUND(E129*F129,0)</f>
        <v>22500</v>
      </c>
    </row>
    <row r="130" spans="1:7" ht="16.5" x14ac:dyDescent="0.25">
      <c r="A130" s="675"/>
      <c r="B130" s="80"/>
      <c r="C130" s="46" t="s">
        <v>8</v>
      </c>
      <c r="D130" s="79" t="s">
        <v>21</v>
      </c>
      <c r="E130" s="12">
        <v>0.2</v>
      </c>
      <c r="F130" s="107">
        <v>850000</v>
      </c>
      <c r="G130" s="116">
        <f>ROUND(E130*F130,0)</f>
        <v>170000</v>
      </c>
    </row>
    <row r="131" spans="1:7" ht="16.5" x14ac:dyDescent="0.25">
      <c r="A131" s="674">
        <v>14</v>
      </c>
      <c r="B131" s="54" t="s">
        <v>55</v>
      </c>
      <c r="C131" s="42"/>
      <c r="D131" s="72"/>
      <c r="E131" s="72"/>
      <c r="F131" s="106"/>
      <c r="G131" s="125"/>
    </row>
    <row r="132" spans="1:7" ht="49.5" x14ac:dyDescent="0.25">
      <c r="A132" s="675"/>
      <c r="B132" s="81"/>
      <c r="C132" s="42" t="s">
        <v>153</v>
      </c>
      <c r="D132" s="126" t="s">
        <v>65</v>
      </c>
      <c r="E132" s="126">
        <v>1</v>
      </c>
      <c r="F132" s="127">
        <f>Luong!H12+Luong!H13+Luong!H14</f>
        <v>882360</v>
      </c>
      <c r="G132" s="168">
        <f>ROUND(E132*F132,0)</f>
        <v>882360</v>
      </c>
    </row>
    <row r="133" spans="1:7" ht="16.5" x14ac:dyDescent="0.25">
      <c r="A133" s="675"/>
      <c r="B133" s="81"/>
      <c r="C133" s="30" t="s">
        <v>18</v>
      </c>
      <c r="D133" s="196"/>
      <c r="E133" s="196"/>
      <c r="F133" s="197"/>
      <c r="G133" s="168">
        <f>SUM(G134:G135)</f>
        <v>83000</v>
      </c>
    </row>
    <row r="134" spans="1:7" ht="16.5" x14ac:dyDescent="0.25">
      <c r="A134" s="675"/>
      <c r="B134" s="81"/>
      <c r="C134" s="8" t="s">
        <v>7</v>
      </c>
      <c r="D134" s="6" t="s">
        <v>20</v>
      </c>
      <c r="E134" s="6">
        <v>0.2</v>
      </c>
      <c r="F134" s="107">
        <v>75000</v>
      </c>
      <c r="G134" s="115">
        <f>ROUND(E134*F134,0)</f>
        <v>15000</v>
      </c>
    </row>
    <row r="135" spans="1:7" ht="16.5" x14ac:dyDescent="0.25">
      <c r="A135" s="675"/>
      <c r="B135" s="81"/>
      <c r="C135" s="46" t="s">
        <v>8</v>
      </c>
      <c r="D135" s="79" t="s">
        <v>21</v>
      </c>
      <c r="E135" s="12">
        <v>0.08</v>
      </c>
      <c r="F135" s="107">
        <v>850000</v>
      </c>
      <c r="G135" s="115">
        <f>ROUND(E135*F135,0)</f>
        <v>68000</v>
      </c>
    </row>
    <row r="136" spans="1:7" ht="34.5" customHeight="1" x14ac:dyDescent="0.25">
      <c r="A136" s="84">
        <v>15</v>
      </c>
      <c r="B136" s="54" t="s">
        <v>75</v>
      </c>
      <c r="C136" s="129" t="s">
        <v>116</v>
      </c>
      <c r="D136" s="338" t="s">
        <v>187</v>
      </c>
      <c r="E136" s="128">
        <v>1</v>
      </c>
      <c r="F136" s="125">
        <f>Luong!H13</f>
        <v>284715</v>
      </c>
      <c r="G136" s="125">
        <f>ROUND(E136*F136,0)</f>
        <v>284715</v>
      </c>
    </row>
    <row r="137" spans="1:7" x14ac:dyDescent="0.25">
      <c r="A137" s="117"/>
      <c r="B137" s="118"/>
      <c r="C137" s="118"/>
      <c r="D137" s="118"/>
      <c r="E137" s="117"/>
      <c r="F137" s="119"/>
      <c r="G137" s="119"/>
    </row>
  </sheetData>
  <mergeCells count="13">
    <mergeCell ref="A28:A32"/>
    <mergeCell ref="A35:A39"/>
    <mergeCell ref="A40:A44"/>
    <mergeCell ref="A87:A92"/>
    <mergeCell ref="A95:A100"/>
    <mergeCell ref="A45:A49"/>
    <mergeCell ref="A121:A125"/>
    <mergeCell ref="A126:A130"/>
    <mergeCell ref="A131:A135"/>
    <mergeCell ref="A51:A54"/>
    <mergeCell ref="A70:A75"/>
    <mergeCell ref="A76:A81"/>
    <mergeCell ref="A82:A8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14</vt:i4>
      </vt:variant>
    </vt:vector>
  </HeadingPairs>
  <TitlesOfParts>
    <vt:vector size="40" baseType="lpstr">
      <vt:lpstr>TH_K_thanh</vt:lpstr>
      <vt:lpstr>PA</vt:lpstr>
      <vt:lpstr>TCĐG</vt:lpstr>
      <vt:lpstr>DG_k_thanh</vt:lpstr>
      <vt:lpstr>Sheet1</vt:lpstr>
      <vt:lpstr>Don_gia_PA</vt:lpstr>
      <vt:lpstr>Don_gia_thanh</vt:lpstr>
      <vt:lpstr>SGV</vt:lpstr>
      <vt:lpstr>NC_VT</vt:lpstr>
      <vt:lpstr>TH</vt:lpstr>
      <vt:lpstr>TH_thanh</vt:lpstr>
      <vt:lpstr>Thu</vt:lpstr>
      <vt:lpstr>Sheet4</vt:lpstr>
      <vt:lpstr>VD</vt:lpstr>
      <vt:lpstr>TH_DG_K_thanh</vt:lpstr>
      <vt:lpstr>Sheet5</vt:lpstr>
      <vt:lpstr>CP</vt:lpstr>
      <vt:lpstr>Luong</vt:lpstr>
      <vt:lpstr>1</vt:lpstr>
      <vt:lpstr>2</vt:lpstr>
      <vt:lpstr>3</vt:lpstr>
      <vt:lpstr>4</vt:lpstr>
      <vt:lpstr>Sheet6</vt:lpstr>
      <vt:lpstr>Sheet7</vt:lpstr>
      <vt:lpstr>Sheet8</vt:lpstr>
      <vt:lpstr>Sheet9</vt:lpstr>
      <vt:lpstr>'1'!Print_Titles</vt:lpstr>
      <vt:lpstr>'2'!Print_Titles</vt:lpstr>
      <vt:lpstr>'3'!Print_Titles</vt:lpstr>
      <vt:lpstr>'4'!Print_Titles</vt:lpstr>
      <vt:lpstr>CP!Print_Titles</vt:lpstr>
      <vt:lpstr>NC_VT!Print_Titles</vt:lpstr>
      <vt:lpstr>Sheet6!Print_Titles</vt:lpstr>
      <vt:lpstr>Sheet7!Print_Titles</vt:lpstr>
      <vt:lpstr>Sheet8!Print_Titles</vt:lpstr>
      <vt:lpstr>Sheet9!Print_Titles</vt:lpstr>
      <vt:lpstr>TH!Print_Titles</vt:lpstr>
      <vt:lpstr>TH_DG_K_thanh!Print_Titles</vt:lpstr>
      <vt:lpstr>TH_thanh!Print_Titles</vt:lpstr>
      <vt:lpstr>VD!Print_Titles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Quyen</dc:creator>
  <cp:lastModifiedBy>PTQD-Uyen</cp:lastModifiedBy>
  <cp:lastPrinted>2023-11-03T02:03:40Z</cp:lastPrinted>
  <dcterms:created xsi:type="dcterms:W3CDTF">2022-10-01T08:43:45Z</dcterms:created>
  <dcterms:modified xsi:type="dcterms:W3CDTF">2023-11-03T03:01:12Z</dcterms:modified>
</cp:coreProperties>
</file>